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austekcl.sharepoint.com/sites/RepositoriodeDocumentosHaustek/Documentos compartidos/19.- INFO TECNICA perfiles y herrajes/2025/Pauta de cortes/2025/"/>
    </mc:Choice>
  </mc:AlternateContent>
  <xr:revisionPtr revIDLastSave="79" documentId="13_ncr:1_{54853926-14D3-4CB5-93D6-8ADABB64AD31}" xr6:coauthVersionLast="47" xr6:coauthVersionMax="47" xr10:uidLastSave="{6F58C555-1F41-472F-954A-95CB87E8EDC1}"/>
  <workbookProtection workbookAlgorithmName="SHA-512" workbookHashValue="73sxAp79pV5ncsEOxELlYV38LpVRLskA7lRlHEPs6mzlZfvjsC3KhFOA6HqIZ/5fMCQHtvs19aHgluK3A7GxXw==" workbookSaltValue="D2QHAb9JHWHZl/n0FVcb6A==" workbookSpinCount="100000" lockStructure="1"/>
  <bookViews>
    <workbookView xWindow="-110" yWindow="-110" windowWidth="25820" windowHeight="13900" tabRatio="827" activeTab="1" xr2:uid="{00000000-000D-0000-FFFF-FFFF00000000}"/>
  </bookViews>
  <sheets>
    <sheet name="1" sheetId="6" r:id="rId1"/>
    <sheet name="Dobleriel S75 simetrica hoja 80" sheetId="8" r:id="rId2"/>
    <sheet name="Dobleriel S75 simetrica hoja 98" sheetId="14" r:id="rId3"/>
    <sheet name="Tripleriel S75 Simetrica H 80" sheetId="21" r:id="rId4"/>
    <sheet name="Tripleriel S75 Simetrica H 98" sheetId="20" r:id="rId5"/>
    <sheet name="Dobleriel S75asimetrica hoja 80" sheetId="11" r:id="rId6"/>
    <sheet name="Dobleriel S75asimetrica hoja 98" sheetId="12" r:id="rId7"/>
    <sheet name="Dobleriel S75tres hojas hoja 80" sheetId="25" r:id="rId8"/>
    <sheet name="Dobleriel S75tres hojas hoja 98" sheetId="26" r:id="rId9"/>
    <sheet name="Dobleriel S75 cuatro hojas 80" sheetId="13" r:id="rId10"/>
    <sheet name="Dobleriel S75 cuatro hojas 98" sheetId="22" r:id="rId11"/>
    <sheet name="Dobleriels75asimetrico 3hojaH80" sheetId="28" r:id="rId12"/>
    <sheet name="DoblerielS75asimetrico 3hojaH98" sheetId="27" r:id="rId13"/>
    <sheet name="Hoja1 (2)" sheetId="23" state="hidden" r:id="rId14"/>
    <sheet name="Hoja1" sheetId="10" state="hidden" r:id="rId15"/>
  </sheets>
  <definedNames>
    <definedName name="_xlnm._FilterDatabase" localSheetId="4" hidden="1">'Tripleriel S75 Simetrica H 98'!$G$5:$J$14</definedName>
    <definedName name="foto10">INDEX('Hoja1 (2)'!$AA$3:$AA$7,MATCH('Dobleriel S75tres hojas hoja 80'!$H$9:$I$9,'Hoja1 (2)'!$Z$3:$Z$7,0))</definedName>
    <definedName name="foto11">INDEX('Hoja1 (2)'!$AC$3:$AC$7,MATCH('Dobleriel S75tres hojas hoja 98'!$H$9:$I$9,'Hoja1 (2)'!$AB$3:$AB$7,0))</definedName>
    <definedName name="foto12" localSheetId="11">INDEX('Hoja1 (2)'!$AG$3:$AG$7,MATCH('Dobleriels75asimetrico 3hojaH80'!$H$9:$I$9,'Hoja1 (2)'!$AF$3:$AF$7,0))</definedName>
    <definedName name="foto12">INDEX('Hoja1 (2)'!$AG$3:$AG$7,MATCH('DoblerielS75asimetrico 3hojaH98'!$H$9:$I$9,'Hoja1 (2)'!$AF$3:$AF$7,0))</definedName>
    <definedName name="foto13">INDEX('Hoja1 (2)'!$AE$3:$AE$7,MATCH('Dobleriels75asimetrico 3hojaH80'!$H$9:$I$9,'Hoja1 (2)'!$AD$3:$AD$7,0))</definedName>
    <definedName name="foto2">INDEX('Hoja1 (2)'!$R$3:$R$7,MATCH('Dobleriel S75 simetrica hoja 98'!$H$9:$I$9,'Hoja1 (2)'!$Q$3:$Q$7,0))</definedName>
    <definedName name="foto3" localSheetId="7">INDEX('Hoja1 (2)'!$U$3:$U$7,MATCH('Dobleriel S75tres hojas hoja 80'!$H$9:$I$9,'Hoja1 (2)'!$Q$3:$Q$7,0))</definedName>
    <definedName name="foto3">INDEX('Hoja1 (2)'!$U$3:$U$7,MATCH('Tripleriel S75 Simetrica H 80'!$H$9:$I$9,'Hoja1 (2)'!$Q$3:$Q$7,0))</definedName>
    <definedName name="foto4" localSheetId="8">INDEX('Hoja1 (2)'!$U$3:$U$7,MATCH('Dobleriel S75tres hojas hoja 98'!$H$9:$I$9,'Hoja1 (2)'!$T$3:$T$7,0))</definedName>
    <definedName name="foto4">INDEX('Hoja1 (2)'!$U$3:$U$7,MATCH('Tripleriel S75 Simetrica H 98'!$H$9:$I$9,'Hoja1 (2)'!$T$3:$T$7,0))</definedName>
    <definedName name="foto5">INDEX('Hoja1 (2)'!$W$3:$W$7,MATCH('Dobleriel S75asimetrica hoja 80'!$H$9,'Hoja1 (2)'!$V$3:$V$7,0))</definedName>
    <definedName name="foto7" localSheetId="11">INDEX('Hoja1 (2)'!$W$3:$W$7,MATCH('Dobleriels75asimetrico 3hojaH80'!$H$9,'Hoja1 (2)'!$V$3:$V$7,0))</definedName>
    <definedName name="foto7" localSheetId="12">INDEX('Hoja1 (2)'!$W$3:$W$7,MATCH('DoblerielS75asimetrico 3hojaH98'!$H$9,'Hoja1 (2)'!$V$3:$V$7,0))</definedName>
    <definedName name="foto7">INDEX('Hoja1 (2)'!$W$3:$W$7,MATCH('Dobleriel S75asimetrica hoja 98'!$H$9,'Hoja1 (2)'!$V$3:$V$7,0))</definedName>
    <definedName name="foto8">INDEX('Hoja1 (2)'!$Y$3:$Y$7,MATCH('Dobleriel S75 cuatro hojas 80'!$H$9,'Hoja1 (2)'!$X$3:$X$7,0))</definedName>
    <definedName name="foto9">INDEX('Hoja1 (2)'!$Y$3:$Y$7,MATCH('Dobleriel S75 cuatro hojas 98'!$H$9,'Hoja1 (2)'!$X$3:$X$7,0))</definedName>
    <definedName name="fotos">INDEX('Hoja1 (2)'!$R$3:$R$7,MATCH('Dobleriel S75 simetrica hoja 80'!$H$9:$I$9,'Hoja1 (2)'!$Q$3:$Q$7,0))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6" l="1"/>
  <c r="G22" i="26" l="1"/>
  <c r="G33" i="27"/>
  <c r="G33" i="28"/>
  <c r="G26" i="22"/>
  <c r="G26" i="13"/>
  <c r="G27" i="26"/>
  <c r="G27" i="25"/>
  <c r="G33" i="12"/>
  <c r="G33" i="11"/>
  <c r="G27" i="20"/>
  <c r="G21" i="20"/>
  <c r="G27" i="21"/>
  <c r="G27" i="14"/>
  <c r="G27" i="8"/>
  <c r="G22" i="21"/>
  <c r="G29" i="21" s="1"/>
  <c r="H33" i="21" s="1"/>
  <c r="G21" i="21"/>
  <c r="G23" i="21" s="1"/>
  <c r="G22" i="20"/>
  <c r="B18" i="20"/>
  <c r="G22" i="27"/>
  <c r="G24" i="27"/>
  <c r="G23" i="27"/>
  <c r="G22" i="28"/>
  <c r="G23" i="28"/>
  <c r="D13" i="28"/>
  <c r="C13" i="28"/>
  <c r="G24" i="28"/>
  <c r="G25" i="22"/>
  <c r="G25" i="13"/>
  <c r="G20" i="22"/>
  <c r="G21" i="22"/>
  <c r="G20" i="13"/>
  <c r="G21" i="13"/>
  <c r="G21" i="26"/>
  <c r="G28" i="26" s="1"/>
  <c r="G33" i="26" s="1"/>
  <c r="G22" i="25"/>
  <c r="G21" i="25"/>
  <c r="G23" i="12"/>
  <c r="G22" i="12"/>
  <c r="G24" i="12"/>
  <c r="G29" i="11"/>
  <c r="G24" i="11"/>
  <c r="G23" i="11"/>
  <c r="G22" i="11"/>
  <c r="G22" i="14"/>
  <c r="G29" i="14" s="1"/>
  <c r="H33" i="14" s="1"/>
  <c r="G21" i="14"/>
  <c r="G23" i="14" s="1"/>
  <c r="B17" i="14"/>
  <c r="B17" i="8"/>
  <c r="G22" i="8"/>
  <c r="G29" i="8" s="1"/>
  <c r="H33" i="8" s="1"/>
  <c r="G21" i="8"/>
  <c r="G23" i="8" s="1"/>
  <c r="F58" i="13"/>
  <c r="F55" i="13"/>
  <c r="F57" i="22"/>
  <c r="F53" i="27"/>
  <c r="F61" i="27"/>
  <c r="F61" i="28"/>
  <c r="F54" i="26"/>
  <c r="F54" i="25"/>
  <c r="F56" i="20"/>
  <c r="F56" i="21"/>
  <c r="F58" i="22"/>
  <c r="F18" i="27"/>
  <c r="F19" i="27"/>
  <c r="F29" i="27"/>
  <c r="F18" i="28"/>
  <c r="F19" i="28"/>
  <c r="F29" i="28"/>
  <c r="F17" i="26"/>
  <c r="F18" i="26"/>
  <c r="F26" i="26"/>
  <c r="F17" i="25"/>
  <c r="F18" i="25"/>
  <c r="F26" i="25"/>
  <c r="F17" i="21"/>
  <c r="F18" i="21"/>
  <c r="F26" i="21"/>
  <c r="F17" i="20"/>
  <c r="F18" i="20"/>
  <c r="F26" i="20"/>
  <c r="F20" i="22"/>
  <c r="F25" i="22"/>
  <c r="F20" i="13"/>
  <c r="F25" i="13"/>
  <c r="F21" i="14"/>
  <c r="F26" i="14"/>
  <c r="F21" i="8"/>
  <c r="F26" i="8"/>
  <c r="G18" i="26"/>
  <c r="B23" i="26" s="1"/>
  <c r="B24" i="26" s="1"/>
  <c r="G17" i="22"/>
  <c r="F24" i="22"/>
  <c r="G24" i="22"/>
  <c r="G18" i="20"/>
  <c r="F25" i="20"/>
  <c r="G25" i="20"/>
  <c r="G18" i="21"/>
  <c r="G20" i="21" s="1"/>
  <c r="G18" i="25"/>
  <c r="F25" i="25"/>
  <c r="G25" i="25"/>
  <c r="D13" i="27"/>
  <c r="C13" i="27"/>
  <c r="F25" i="26"/>
  <c r="G25" i="26" s="1"/>
  <c r="G24" i="26"/>
  <c r="G22" i="13"/>
  <c r="F60" i="27"/>
  <c r="F60" i="28"/>
  <c r="F54" i="22"/>
  <c r="F54" i="13"/>
  <c r="F53" i="26"/>
  <c r="F53" i="25"/>
  <c r="F60" i="12"/>
  <c r="F60" i="11"/>
  <c r="F53" i="20"/>
  <c r="F53" i="21"/>
  <c r="F53" i="14"/>
  <c r="F55" i="8"/>
  <c r="F59" i="28"/>
  <c r="F58" i="28"/>
  <c r="F53" i="13"/>
  <c r="F52" i="25"/>
  <c r="F58" i="11"/>
  <c r="F59" i="11"/>
  <c r="F52" i="21"/>
  <c r="F59" i="27"/>
  <c r="F58" i="27"/>
  <c r="F53" i="22"/>
  <c r="F52" i="26"/>
  <c r="F59" i="12"/>
  <c r="F58" i="12"/>
  <c r="F52" i="20"/>
  <c r="F52" i="8"/>
  <c r="F52" i="14"/>
  <c r="G27" i="22"/>
  <c r="G27" i="13"/>
  <c r="G28" i="20"/>
  <c r="G23" i="20"/>
  <c r="G23" i="26"/>
  <c r="G22" i="22"/>
  <c r="F27" i="26"/>
  <c r="F21" i="26"/>
  <c r="F27" i="25"/>
  <c r="F21" i="25"/>
  <c r="F19" i="25"/>
  <c r="F27" i="20"/>
  <c r="F19" i="20"/>
  <c r="F27" i="21"/>
  <c r="F19" i="21"/>
  <c r="F27" i="14"/>
  <c r="F19" i="14"/>
  <c r="F27" i="8"/>
  <c r="F19" i="8"/>
  <c r="G28" i="25"/>
  <c r="G23" i="25"/>
  <c r="F47" i="8"/>
  <c r="C23" i="28"/>
  <c r="C24" i="28"/>
  <c r="F54" i="28"/>
  <c r="F56" i="28"/>
  <c r="F53" i="28"/>
  <c r="B53" i="28"/>
  <c r="F52" i="28"/>
  <c r="F50" i="28"/>
  <c r="J49" i="28"/>
  <c r="B50" i="28"/>
  <c r="B49" i="28"/>
  <c r="F48" i="28"/>
  <c r="B48" i="28"/>
  <c r="F47" i="28"/>
  <c r="B47" i="28"/>
  <c r="J45" i="28"/>
  <c r="J44" i="28"/>
  <c r="F49" i="28"/>
  <c r="B44" i="28"/>
  <c r="F43" i="28"/>
  <c r="F42" i="28"/>
  <c r="F41" i="28"/>
  <c r="F51" i="28"/>
  <c r="B41" i="28"/>
  <c r="F45" i="28"/>
  <c r="J41" i="28"/>
  <c r="B35" i="28"/>
  <c r="F33" i="28"/>
  <c r="F32" i="28"/>
  <c r="F31" i="28"/>
  <c r="F30" i="28"/>
  <c r="F27" i="28"/>
  <c r="F26" i="28"/>
  <c r="C26" i="28"/>
  <c r="C27" i="28"/>
  <c r="F25" i="28"/>
  <c r="F24" i="28"/>
  <c r="F23" i="28"/>
  <c r="F22" i="28"/>
  <c r="F21" i="28"/>
  <c r="F20" i="28"/>
  <c r="N19" i="28"/>
  <c r="G19" i="28"/>
  <c r="N18" i="28"/>
  <c r="G18" i="28"/>
  <c r="G20" i="28"/>
  <c r="N17" i="28"/>
  <c r="N15" i="28"/>
  <c r="N14" i="28"/>
  <c r="N13" i="28"/>
  <c r="J43" i="28"/>
  <c r="N12" i="28"/>
  <c r="N11" i="28"/>
  <c r="N10" i="28"/>
  <c r="N9" i="28"/>
  <c r="N8" i="28"/>
  <c r="N7" i="28"/>
  <c r="N6" i="28"/>
  <c r="O5" i="28"/>
  <c r="F30" i="27"/>
  <c r="F25" i="27"/>
  <c r="F27" i="27"/>
  <c r="F32" i="27"/>
  <c r="J44" i="27"/>
  <c r="F54" i="27"/>
  <c r="F57" i="27"/>
  <c r="F52" i="27"/>
  <c r="F48" i="27"/>
  <c r="F47" i="27"/>
  <c r="J45" i="27"/>
  <c r="F42" i="27"/>
  <c r="F22" i="27"/>
  <c r="F24" i="27"/>
  <c r="G18" i="27"/>
  <c r="B53" i="27"/>
  <c r="F50" i="27"/>
  <c r="J49" i="27"/>
  <c r="B50" i="27"/>
  <c r="B49" i="27"/>
  <c r="B48" i="27"/>
  <c r="B47" i="27"/>
  <c r="B44" i="27"/>
  <c r="F43" i="27"/>
  <c r="F41" i="27"/>
  <c r="F51" i="27"/>
  <c r="B41" i="27"/>
  <c r="F45" i="27"/>
  <c r="J41" i="27"/>
  <c r="B35" i="27"/>
  <c r="F33" i="27"/>
  <c r="F31" i="27"/>
  <c r="F26" i="27"/>
  <c r="F23" i="27"/>
  <c r="F21" i="27"/>
  <c r="F20" i="27"/>
  <c r="N19" i="27"/>
  <c r="G19" i="27"/>
  <c r="N18" i="27"/>
  <c r="N17" i="27"/>
  <c r="N15" i="27"/>
  <c r="N14" i="27"/>
  <c r="N13" i="27"/>
  <c r="N12" i="27"/>
  <c r="N11" i="27"/>
  <c r="N10" i="27"/>
  <c r="N9" i="27"/>
  <c r="N8" i="27"/>
  <c r="N7" i="27"/>
  <c r="N6" i="27"/>
  <c r="O5" i="27"/>
  <c r="I33" i="25"/>
  <c r="I33" i="26"/>
  <c r="F28" i="26"/>
  <c r="F29" i="26" s="1"/>
  <c r="F48" i="26"/>
  <c r="F51" i="26"/>
  <c r="F47" i="26"/>
  <c r="B47" i="26"/>
  <c r="F46" i="26"/>
  <c r="F45" i="26"/>
  <c r="F44" i="26"/>
  <c r="J44" i="26"/>
  <c r="B44" i="26"/>
  <c r="B43" i="26"/>
  <c r="F42" i="26"/>
  <c r="B42" i="26"/>
  <c r="F41" i="26"/>
  <c r="J40" i="26"/>
  <c r="B41" i="26"/>
  <c r="J39" i="26"/>
  <c r="F43" i="26" s="1"/>
  <c r="J38" i="26"/>
  <c r="B38" i="26"/>
  <c r="F37" i="26"/>
  <c r="F36" i="26"/>
  <c r="F40" i="26"/>
  <c r="J42" i="26"/>
  <c r="B36" i="26"/>
  <c r="F39" i="26"/>
  <c r="J36" i="26" s="1"/>
  <c r="B33" i="26"/>
  <c r="B31" i="26"/>
  <c r="B22" i="26"/>
  <c r="F20" i="26"/>
  <c r="G20" i="26"/>
  <c r="G17" i="26"/>
  <c r="G19" i="26" s="1"/>
  <c r="M16" i="26"/>
  <c r="M14" i="26"/>
  <c r="M13" i="26"/>
  <c r="M12" i="26"/>
  <c r="H12" i="26"/>
  <c r="M11" i="26"/>
  <c r="M10" i="26"/>
  <c r="M9" i="26"/>
  <c r="M8" i="26"/>
  <c r="M7" i="26"/>
  <c r="H7" i="26"/>
  <c r="M6" i="26"/>
  <c r="M5" i="26"/>
  <c r="M4" i="26"/>
  <c r="M3" i="26"/>
  <c r="N2" i="26"/>
  <c r="B47" i="25"/>
  <c r="B43" i="25"/>
  <c r="B42" i="25"/>
  <c r="B41" i="25"/>
  <c r="B38" i="25"/>
  <c r="F48" i="25"/>
  <c r="F51" i="25"/>
  <c r="F47" i="25"/>
  <c r="F46" i="25"/>
  <c r="F45" i="25"/>
  <c r="F44" i="25"/>
  <c r="J44" i="25"/>
  <c r="B44" i="25"/>
  <c r="F42" i="25"/>
  <c r="F41" i="25"/>
  <c r="J40" i="25"/>
  <c r="J39" i="25"/>
  <c r="F43" i="25" s="1"/>
  <c r="J38" i="25"/>
  <c r="F37" i="25"/>
  <c r="F36" i="25"/>
  <c r="F40" i="25"/>
  <c r="J42" i="25"/>
  <c r="B36" i="25"/>
  <c r="F39" i="25"/>
  <c r="J36" i="25"/>
  <c r="B33" i="25"/>
  <c r="B31" i="25"/>
  <c r="B24" i="25"/>
  <c r="F28" i="25"/>
  <c r="F29" i="25"/>
  <c r="B22" i="25"/>
  <c r="F20" i="25"/>
  <c r="B18" i="25"/>
  <c r="G17" i="25"/>
  <c r="L16" i="25"/>
  <c r="L14" i="25"/>
  <c r="L13" i="25"/>
  <c r="L12" i="25"/>
  <c r="H12" i="25"/>
  <c r="L11" i="25"/>
  <c r="L10" i="25"/>
  <c r="L9" i="25"/>
  <c r="L8" i="25"/>
  <c r="L7" i="25"/>
  <c r="H7" i="25"/>
  <c r="L6" i="25"/>
  <c r="L5" i="25"/>
  <c r="L4" i="25"/>
  <c r="L3" i="25"/>
  <c r="M2" i="25"/>
  <c r="G21" i="28"/>
  <c r="F28" i="28"/>
  <c r="G28" i="28"/>
  <c r="G20" i="25"/>
  <c r="G21" i="27"/>
  <c r="C25" i="27"/>
  <c r="C26" i="27"/>
  <c r="C27" i="27"/>
  <c r="F28" i="27"/>
  <c r="G28" i="27"/>
  <c r="G27" i="28"/>
  <c r="G32" i="27"/>
  <c r="G24" i="25"/>
  <c r="G29" i="25"/>
  <c r="H33" i="25"/>
  <c r="C33" i="25"/>
  <c r="B28" i="25"/>
  <c r="B29" i="25"/>
  <c r="B38" i="28"/>
  <c r="G29" i="26"/>
  <c r="H33" i="26"/>
  <c r="C38" i="27"/>
  <c r="F56" i="27"/>
  <c r="F55" i="27"/>
  <c r="F55" i="28"/>
  <c r="G32" i="28"/>
  <c r="H37" i="28"/>
  <c r="H38" i="28"/>
  <c r="C33" i="26"/>
  <c r="B28" i="26"/>
  <c r="B29" i="26"/>
  <c r="H14" i="26"/>
  <c r="B37" i="26" s="1"/>
  <c r="B38" i="27"/>
  <c r="H15" i="27"/>
  <c r="B43" i="27"/>
  <c r="B59" i="27"/>
  <c r="C38" i="28"/>
  <c r="H7" i="28"/>
  <c r="H15" i="28"/>
  <c r="B43" i="28"/>
  <c r="B59" i="28"/>
  <c r="F57" i="28"/>
  <c r="F49" i="27"/>
  <c r="H12" i="28"/>
  <c r="E13" i="28"/>
  <c r="H14" i="28"/>
  <c r="G29" i="28"/>
  <c r="C37" i="28"/>
  <c r="B37" i="28"/>
  <c r="F44" i="28"/>
  <c r="J48" i="28"/>
  <c r="F46" i="28"/>
  <c r="J47" i="28"/>
  <c r="H7" i="27"/>
  <c r="E13" i="27"/>
  <c r="H12" i="27"/>
  <c r="G38" i="27"/>
  <c r="G20" i="27"/>
  <c r="J43" i="27"/>
  <c r="G27" i="27"/>
  <c r="G29" i="27"/>
  <c r="C37" i="27"/>
  <c r="H37" i="27"/>
  <c r="H38" i="27"/>
  <c r="B37" i="27"/>
  <c r="F44" i="27"/>
  <c r="J48" i="27"/>
  <c r="F46" i="27"/>
  <c r="J47" i="27"/>
  <c r="F50" i="26"/>
  <c r="F22" i="26"/>
  <c r="F23" i="26"/>
  <c r="F24" i="26" s="1"/>
  <c r="G26" i="26"/>
  <c r="F38" i="26"/>
  <c r="J43" i="26"/>
  <c r="F49" i="26"/>
  <c r="H14" i="25"/>
  <c r="B37" i="25" s="1"/>
  <c r="G19" i="25"/>
  <c r="G33" i="25"/>
  <c r="F50" i="25"/>
  <c r="F22" i="25"/>
  <c r="F23" i="25"/>
  <c r="F24" i="25"/>
  <c r="G26" i="25"/>
  <c r="F38" i="25"/>
  <c r="J43" i="25"/>
  <c r="F49" i="25"/>
  <c r="J43" i="12"/>
  <c r="J43" i="11"/>
  <c r="J38" i="20"/>
  <c r="J38" i="21"/>
  <c r="J38" i="14"/>
  <c r="J38" i="8"/>
  <c r="J39" i="22"/>
  <c r="J39" i="13"/>
  <c r="B42" i="28"/>
  <c r="B58" i="28"/>
  <c r="H14" i="27"/>
  <c r="B42" i="27"/>
  <c r="G38" i="28"/>
  <c r="G26" i="28"/>
  <c r="G31" i="28"/>
  <c r="G25" i="28"/>
  <c r="G37" i="28"/>
  <c r="G30" i="28"/>
  <c r="C32" i="28"/>
  <c r="C30" i="28"/>
  <c r="C31" i="28"/>
  <c r="G26" i="27"/>
  <c r="G31" i="27"/>
  <c r="C32" i="27"/>
  <c r="C30" i="27"/>
  <c r="C31" i="27"/>
  <c r="J40" i="22"/>
  <c r="J40" i="13"/>
  <c r="J44" i="12"/>
  <c r="J39" i="20"/>
  <c r="J39" i="21"/>
  <c r="F43" i="21" s="1"/>
  <c r="J39" i="14"/>
  <c r="F43" i="14" s="1"/>
  <c r="J39" i="8"/>
  <c r="F43" i="8" s="1"/>
  <c r="J44" i="11"/>
  <c r="J46" i="28"/>
  <c r="G25" i="27"/>
  <c r="G30" i="27"/>
  <c r="G37" i="27"/>
  <c r="C48" i="22"/>
  <c r="C44" i="22"/>
  <c r="C43" i="22"/>
  <c r="C42" i="22"/>
  <c r="C39" i="22"/>
  <c r="C48" i="13"/>
  <c r="C44" i="13"/>
  <c r="C43" i="13"/>
  <c r="C42" i="13"/>
  <c r="C39" i="13"/>
  <c r="B53" i="12"/>
  <c r="B49" i="12"/>
  <c r="B48" i="12"/>
  <c r="B47" i="12"/>
  <c r="B44" i="12"/>
  <c r="B53" i="11"/>
  <c r="B49" i="11"/>
  <c r="B48" i="11"/>
  <c r="B44" i="11"/>
  <c r="B47" i="20"/>
  <c r="B43" i="20"/>
  <c r="B42" i="20"/>
  <c r="B41" i="20"/>
  <c r="B38" i="20"/>
  <c r="B58" i="27"/>
  <c r="J46" i="27"/>
  <c r="B47" i="11"/>
  <c r="B38" i="21"/>
  <c r="F49" i="22"/>
  <c r="F52" i="22"/>
  <c r="F48" i="22"/>
  <c r="F47" i="22"/>
  <c r="F47" i="13"/>
  <c r="F49" i="13"/>
  <c r="F50" i="13"/>
  <c r="F48" i="13"/>
  <c r="F52" i="12"/>
  <c r="F54" i="12"/>
  <c r="F57" i="12"/>
  <c r="F53" i="12"/>
  <c r="F54" i="11"/>
  <c r="F56" i="11"/>
  <c r="F53" i="11"/>
  <c r="F52" i="11"/>
  <c r="F48" i="20"/>
  <c r="F49" i="20"/>
  <c r="F47" i="20"/>
  <c r="F46" i="20"/>
  <c r="F48" i="21"/>
  <c r="F51" i="21"/>
  <c r="F47" i="21"/>
  <c r="F46" i="21"/>
  <c r="B47" i="21"/>
  <c r="F47" i="14"/>
  <c r="F48" i="14"/>
  <c r="F51" i="14"/>
  <c r="B47" i="14"/>
  <c r="F46" i="14"/>
  <c r="F42" i="8"/>
  <c r="F48" i="8"/>
  <c r="F51" i="13"/>
  <c r="F51" i="20"/>
  <c r="F50" i="20"/>
  <c r="F55" i="11"/>
  <c r="F57" i="11"/>
  <c r="F50" i="22"/>
  <c r="F51" i="22"/>
  <c r="F52" i="13"/>
  <c r="F55" i="12"/>
  <c r="F56" i="12"/>
  <c r="F49" i="21"/>
  <c r="F50" i="21"/>
  <c r="F49" i="14"/>
  <c r="F50" i="14"/>
  <c r="E13" i="11"/>
  <c r="F51" i="8"/>
  <c r="F50" i="8"/>
  <c r="F49" i="8"/>
  <c r="B47" i="8"/>
  <c r="F46" i="8"/>
  <c r="F46" i="22"/>
  <c r="F45" i="22"/>
  <c r="J45" i="22"/>
  <c r="C45" i="22"/>
  <c r="F44" i="22"/>
  <c r="F43" i="22"/>
  <c r="F42" i="22"/>
  <c r="J41" i="22"/>
  <c r="F41" i="22"/>
  <c r="J43" i="22"/>
  <c r="F38" i="22"/>
  <c r="F37" i="22"/>
  <c r="F39" i="22"/>
  <c r="J44" i="22"/>
  <c r="C37" i="22"/>
  <c r="F45" i="13"/>
  <c r="J45" i="13"/>
  <c r="F41" i="13"/>
  <c r="J43" i="13"/>
  <c r="F38" i="13"/>
  <c r="F37" i="13"/>
  <c r="F46" i="13"/>
  <c r="F43" i="13"/>
  <c r="F42" i="13"/>
  <c r="F40" i="22"/>
  <c r="J37" i="22"/>
  <c r="F39" i="13"/>
  <c r="J44" i="13"/>
  <c r="C45" i="13"/>
  <c r="F44" i="13"/>
  <c r="J41" i="13"/>
  <c r="C37" i="13"/>
  <c r="F40" i="13"/>
  <c r="J37" i="13"/>
  <c r="F49" i="12"/>
  <c r="F50" i="12"/>
  <c r="J49" i="12"/>
  <c r="B50" i="12"/>
  <c r="F48" i="12"/>
  <c r="F47" i="12"/>
  <c r="J45" i="12"/>
  <c r="F43" i="12"/>
  <c r="F42" i="12"/>
  <c r="F41" i="12"/>
  <c r="F44" i="12"/>
  <c r="J48" i="12"/>
  <c r="B41" i="12"/>
  <c r="F48" i="11"/>
  <c r="F42" i="20"/>
  <c r="F42" i="21"/>
  <c r="F42" i="14"/>
  <c r="F49" i="11"/>
  <c r="B41" i="11"/>
  <c r="F46" i="12"/>
  <c r="J47" i="12"/>
  <c r="F51" i="12"/>
  <c r="F45" i="12"/>
  <c r="J41" i="12"/>
  <c r="F50" i="11"/>
  <c r="J49" i="11"/>
  <c r="B50" i="11"/>
  <c r="F47" i="11"/>
  <c r="J45" i="11"/>
  <c r="F43" i="11"/>
  <c r="F42" i="11"/>
  <c r="F41" i="11"/>
  <c r="F44" i="20"/>
  <c r="J44" i="20"/>
  <c r="F44" i="21"/>
  <c r="J44" i="21"/>
  <c r="F43" i="20"/>
  <c r="F45" i="20"/>
  <c r="B44" i="20"/>
  <c r="F41" i="20"/>
  <c r="J40" i="20"/>
  <c r="F37" i="20"/>
  <c r="F36" i="20"/>
  <c r="F38" i="20"/>
  <c r="J43" i="20"/>
  <c r="B36" i="20"/>
  <c r="F36" i="21"/>
  <c r="F38" i="21"/>
  <c r="J43" i="21"/>
  <c r="F41" i="21"/>
  <c r="J40" i="21"/>
  <c r="F37" i="21"/>
  <c r="B36" i="21"/>
  <c r="F39" i="21" s="1"/>
  <c r="J36" i="21" s="1"/>
  <c r="F45" i="21"/>
  <c r="B44" i="21"/>
  <c r="B43" i="21"/>
  <c r="B42" i="21"/>
  <c r="B41" i="21"/>
  <c r="F45" i="14"/>
  <c r="F44" i="14"/>
  <c r="J44" i="14"/>
  <c r="B44" i="14"/>
  <c r="B43" i="14"/>
  <c r="B42" i="14"/>
  <c r="F41" i="14"/>
  <c r="J40" i="14"/>
  <c r="B41" i="14"/>
  <c r="B38" i="14"/>
  <c r="F37" i="14"/>
  <c r="F36" i="14"/>
  <c r="F38" i="14"/>
  <c r="J43" i="14"/>
  <c r="B36" i="14"/>
  <c r="F39" i="14" s="1"/>
  <c r="J36" i="14" s="1"/>
  <c r="J42" i="27"/>
  <c r="J42" i="28"/>
  <c r="F46" i="11"/>
  <c r="J47" i="11"/>
  <c r="J42" i="12"/>
  <c r="J42" i="11"/>
  <c r="F51" i="11"/>
  <c r="F44" i="11"/>
  <c r="J48" i="11"/>
  <c r="F45" i="11"/>
  <c r="J41" i="11"/>
  <c r="F40" i="20"/>
  <c r="J42" i="20"/>
  <c r="F39" i="20"/>
  <c r="J36" i="20"/>
  <c r="F40" i="21"/>
  <c r="J42" i="21"/>
  <c r="F40" i="14"/>
  <c r="J42" i="14"/>
  <c r="F45" i="8"/>
  <c r="F44" i="8"/>
  <c r="J44" i="8"/>
  <c r="B44" i="8"/>
  <c r="B43" i="8"/>
  <c r="B42" i="8"/>
  <c r="B41" i="8"/>
  <c r="F41" i="8"/>
  <c r="J40" i="8"/>
  <c r="B36" i="8"/>
  <c r="J38" i="22" s="1"/>
  <c r="B38" i="8"/>
  <c r="F37" i="8"/>
  <c r="F36" i="8"/>
  <c r="F38" i="8"/>
  <c r="J43" i="8"/>
  <c r="F40" i="8"/>
  <c r="J42" i="8"/>
  <c r="M2" i="22"/>
  <c r="L16" i="22"/>
  <c r="L15" i="22"/>
  <c r="L13" i="22"/>
  <c r="L12" i="22"/>
  <c r="L11" i="22"/>
  <c r="L10" i="22"/>
  <c r="L9" i="22"/>
  <c r="L8" i="22"/>
  <c r="L7" i="22"/>
  <c r="L6" i="22"/>
  <c r="L5" i="22"/>
  <c r="L4" i="22"/>
  <c r="L3" i="22"/>
  <c r="C33" i="22"/>
  <c r="C27" i="22"/>
  <c r="M1" i="13"/>
  <c r="L15" i="13"/>
  <c r="L13" i="13"/>
  <c r="L12" i="13"/>
  <c r="L11" i="13"/>
  <c r="L10" i="13"/>
  <c r="L9" i="13"/>
  <c r="L8" i="13"/>
  <c r="L7" i="13"/>
  <c r="L6" i="13"/>
  <c r="L5" i="13"/>
  <c r="L4" i="13"/>
  <c r="L3" i="13"/>
  <c r="L2" i="13"/>
  <c r="F30" i="12"/>
  <c r="F31" i="12"/>
  <c r="F31" i="11"/>
  <c r="F30" i="11"/>
  <c r="C33" i="13"/>
  <c r="B27" i="13"/>
  <c r="N2" i="20"/>
  <c r="M16" i="20"/>
  <c r="M14" i="20"/>
  <c r="M13" i="20"/>
  <c r="M12" i="20"/>
  <c r="M11" i="20"/>
  <c r="M10" i="20"/>
  <c r="M9" i="20"/>
  <c r="M8" i="20"/>
  <c r="M7" i="20"/>
  <c r="M6" i="20"/>
  <c r="M5" i="20"/>
  <c r="M4" i="20"/>
  <c r="M3" i="20"/>
  <c r="M2" i="21"/>
  <c r="L16" i="21"/>
  <c r="L14" i="21"/>
  <c r="L13" i="21"/>
  <c r="L12" i="21"/>
  <c r="L11" i="21"/>
  <c r="L10" i="21"/>
  <c r="L9" i="21"/>
  <c r="L8" i="21"/>
  <c r="L7" i="21"/>
  <c r="L6" i="21"/>
  <c r="L5" i="21"/>
  <c r="L4" i="21"/>
  <c r="L3" i="21"/>
  <c r="M2" i="14"/>
  <c r="L16" i="14"/>
  <c r="L14" i="14"/>
  <c r="L13" i="14"/>
  <c r="L12" i="14"/>
  <c r="L11" i="14"/>
  <c r="L10" i="14"/>
  <c r="L9" i="14"/>
  <c r="L8" i="14"/>
  <c r="L7" i="14"/>
  <c r="L6" i="14"/>
  <c r="L5" i="14"/>
  <c r="L4" i="14"/>
  <c r="L3" i="14"/>
  <c r="C33" i="20"/>
  <c r="B28" i="20"/>
  <c r="C33" i="21"/>
  <c r="B28" i="21"/>
  <c r="C33" i="14"/>
  <c r="B28" i="14"/>
  <c r="N2" i="8"/>
  <c r="O1" i="8"/>
  <c r="C33" i="8" s="1"/>
  <c r="B28" i="8" s="1"/>
  <c r="B29" i="8" s="1"/>
  <c r="N14" i="8"/>
  <c r="N13" i="8"/>
  <c r="N12" i="8"/>
  <c r="N11" i="8"/>
  <c r="N10" i="8"/>
  <c r="N9" i="8"/>
  <c r="N8" i="8"/>
  <c r="N7" i="8"/>
  <c r="N6" i="8"/>
  <c r="N5" i="8"/>
  <c r="N4" i="8"/>
  <c r="N3" i="8"/>
  <c r="I33" i="22"/>
  <c r="B33" i="22"/>
  <c r="B31" i="22"/>
  <c r="F29" i="22"/>
  <c r="C28" i="22"/>
  <c r="F27" i="22"/>
  <c r="F28" i="22"/>
  <c r="C21" i="22"/>
  <c r="C17" i="22"/>
  <c r="G16" i="22"/>
  <c r="F16" i="22"/>
  <c r="F17" i="22"/>
  <c r="F18" i="22"/>
  <c r="F19" i="22"/>
  <c r="H11" i="22"/>
  <c r="H13" i="22"/>
  <c r="C38" i="22"/>
  <c r="C53" i="22"/>
  <c r="H7" i="22"/>
  <c r="I33" i="21"/>
  <c r="B33" i="21"/>
  <c r="B31" i="21"/>
  <c r="B29" i="21"/>
  <c r="B24" i="21"/>
  <c r="F21" i="21"/>
  <c r="F22" i="21"/>
  <c r="F23" i="21"/>
  <c r="F24" i="21"/>
  <c r="B22" i="21"/>
  <c r="F20" i="21"/>
  <c r="G17" i="21"/>
  <c r="G19" i="21" s="1"/>
  <c r="H12" i="21"/>
  <c r="H14" i="21"/>
  <c r="B37" i="21" s="1"/>
  <c r="H7" i="21"/>
  <c r="I33" i="20"/>
  <c r="B33" i="20"/>
  <c r="B31" i="20"/>
  <c r="B29" i="20"/>
  <c r="F21" i="20"/>
  <c r="F22" i="20"/>
  <c r="F23" i="20"/>
  <c r="F24" i="20"/>
  <c r="B22" i="20"/>
  <c r="F20" i="20"/>
  <c r="G17" i="20"/>
  <c r="H12" i="20"/>
  <c r="H14" i="20"/>
  <c r="H7" i="20"/>
  <c r="I33" i="14"/>
  <c r="B33" i="14"/>
  <c r="B31" i="14"/>
  <c r="B29" i="14"/>
  <c r="F22" i="14"/>
  <c r="F23" i="14"/>
  <c r="F24" i="14"/>
  <c r="B22" i="14"/>
  <c r="F20" i="14"/>
  <c r="G18" i="14"/>
  <c r="G20" i="14" s="1"/>
  <c r="G17" i="14"/>
  <c r="G19" i="14" s="1"/>
  <c r="F17" i="14"/>
  <c r="F18" i="14"/>
  <c r="B18" i="14"/>
  <c r="H12" i="14"/>
  <c r="H14" i="14" s="1"/>
  <c r="B37" i="14" s="1"/>
  <c r="H7" i="14"/>
  <c r="G19" i="22"/>
  <c r="C22" i="22"/>
  <c r="C23" i="22"/>
  <c r="G20" i="20"/>
  <c r="B23" i="20"/>
  <c r="B24" i="20"/>
  <c r="G26" i="20"/>
  <c r="B37" i="20"/>
  <c r="B52" i="20"/>
  <c r="G24" i="14"/>
  <c r="G29" i="20"/>
  <c r="H33" i="20"/>
  <c r="G24" i="20"/>
  <c r="G28" i="22"/>
  <c r="H33" i="22"/>
  <c r="G23" i="22"/>
  <c r="G19" i="20"/>
  <c r="F21" i="22"/>
  <c r="F22" i="22"/>
  <c r="F23" i="22"/>
  <c r="J42" i="22"/>
  <c r="G33" i="22"/>
  <c r="G29" i="22"/>
  <c r="F26" i="22"/>
  <c r="G18" i="22"/>
  <c r="F28" i="21"/>
  <c r="F29" i="21"/>
  <c r="F28" i="20"/>
  <c r="F29" i="20"/>
  <c r="G33" i="20"/>
  <c r="F28" i="14"/>
  <c r="F29" i="14"/>
  <c r="J41" i="20"/>
  <c r="F29" i="13"/>
  <c r="F21" i="13"/>
  <c r="F22" i="13"/>
  <c r="F23" i="13"/>
  <c r="I33" i="13"/>
  <c r="B33" i="13"/>
  <c r="B31" i="13"/>
  <c r="B28" i="13"/>
  <c r="B23" i="13"/>
  <c r="B21" i="13"/>
  <c r="G17" i="13"/>
  <c r="G16" i="13"/>
  <c r="F16" i="13"/>
  <c r="B17" i="13"/>
  <c r="H11" i="13"/>
  <c r="H13" i="13"/>
  <c r="C38" i="13"/>
  <c r="C53" i="13"/>
  <c r="H7" i="13"/>
  <c r="G19" i="13"/>
  <c r="F24" i="13"/>
  <c r="G24" i="13"/>
  <c r="G28" i="13"/>
  <c r="G23" i="13"/>
  <c r="F17" i="13"/>
  <c r="F18" i="13"/>
  <c r="F19" i="13"/>
  <c r="F26" i="13"/>
  <c r="G29" i="13"/>
  <c r="J42" i="13"/>
  <c r="G18" i="13"/>
  <c r="F27" i="13"/>
  <c r="F28" i="13"/>
  <c r="H33" i="13"/>
  <c r="G30" i="12"/>
  <c r="B35" i="12"/>
  <c r="F33" i="12"/>
  <c r="F32" i="12"/>
  <c r="F29" i="12"/>
  <c r="F27" i="12"/>
  <c r="F26" i="12"/>
  <c r="F25" i="12"/>
  <c r="F24" i="12"/>
  <c r="F23" i="12"/>
  <c r="F22" i="12"/>
  <c r="F21" i="12"/>
  <c r="F20" i="12"/>
  <c r="N19" i="12"/>
  <c r="G19" i="12"/>
  <c r="N18" i="12"/>
  <c r="G18" i="12"/>
  <c r="G20" i="12"/>
  <c r="F18" i="12"/>
  <c r="F19" i="12"/>
  <c r="N17" i="12"/>
  <c r="N15" i="12"/>
  <c r="N14" i="12"/>
  <c r="N13" i="12"/>
  <c r="E13" i="12"/>
  <c r="N12" i="12"/>
  <c r="H12" i="12"/>
  <c r="N11" i="12"/>
  <c r="N10" i="12"/>
  <c r="N9" i="12"/>
  <c r="N8" i="12"/>
  <c r="N7" i="12"/>
  <c r="H7" i="12"/>
  <c r="N6" i="12"/>
  <c r="O5" i="12"/>
  <c r="G21" i="12"/>
  <c r="C25" i="12"/>
  <c r="C26" i="12"/>
  <c r="C27" i="12"/>
  <c r="F28" i="12"/>
  <c r="G28" i="12"/>
  <c r="H38" i="12"/>
  <c r="H15" i="12"/>
  <c r="B43" i="12"/>
  <c r="B59" i="12"/>
  <c r="C38" i="12"/>
  <c r="B38" i="12"/>
  <c r="H14" i="12"/>
  <c r="G31" i="12"/>
  <c r="G27" i="12"/>
  <c r="G29" i="12"/>
  <c r="G32" i="12"/>
  <c r="H37" i="12"/>
  <c r="G33" i="13"/>
  <c r="G25" i="12"/>
  <c r="G37" i="12"/>
  <c r="B37" i="12"/>
  <c r="C37" i="12"/>
  <c r="F32" i="11"/>
  <c r="E15" i="11"/>
  <c r="F27" i="11"/>
  <c r="F24" i="11"/>
  <c r="F23" i="11"/>
  <c r="F22" i="11"/>
  <c r="F29" i="11"/>
  <c r="F26" i="11"/>
  <c r="F25" i="11"/>
  <c r="F21" i="11"/>
  <c r="F20" i="11"/>
  <c r="F33" i="11"/>
  <c r="F18" i="11"/>
  <c r="F19" i="11"/>
  <c r="B35" i="11"/>
  <c r="N19" i="11"/>
  <c r="G19" i="11"/>
  <c r="N18" i="11"/>
  <c r="N17" i="11"/>
  <c r="N15" i="11"/>
  <c r="N14" i="11"/>
  <c r="N13" i="11"/>
  <c r="N12" i="11"/>
  <c r="N11" i="11"/>
  <c r="N10" i="11"/>
  <c r="N9" i="11"/>
  <c r="N8" i="11"/>
  <c r="N7" i="11"/>
  <c r="N6" i="11"/>
  <c r="O5" i="11"/>
  <c r="G21" i="11"/>
  <c r="F28" i="11"/>
  <c r="G28" i="11"/>
  <c r="B42" i="12"/>
  <c r="B58" i="12"/>
  <c r="G38" i="12"/>
  <c r="H14" i="11"/>
  <c r="C38" i="11"/>
  <c r="B37" i="11"/>
  <c r="B38" i="11"/>
  <c r="H38" i="11"/>
  <c r="H37" i="11"/>
  <c r="G30" i="11"/>
  <c r="G37" i="11"/>
  <c r="G26" i="12"/>
  <c r="G25" i="11"/>
  <c r="C37" i="11"/>
  <c r="C31" i="11"/>
  <c r="G32" i="11"/>
  <c r="C31" i="12"/>
  <c r="C32" i="12"/>
  <c r="C30" i="12"/>
  <c r="G27" i="11"/>
  <c r="B42" i="11"/>
  <c r="B58" i="11"/>
  <c r="J46" i="12"/>
  <c r="C32" i="11"/>
  <c r="C30" i="11"/>
  <c r="C26" i="11"/>
  <c r="C27" i="11"/>
  <c r="J46" i="11"/>
  <c r="B24" i="8"/>
  <c r="B22" i="8"/>
  <c r="B18" i="8"/>
  <c r="B33" i="8"/>
  <c r="I33" i="8"/>
  <c r="F28" i="8"/>
  <c r="D13" i="10"/>
  <c r="F22" i="8"/>
  <c r="F17" i="8"/>
  <c r="F18" i="8"/>
  <c r="F20" i="8"/>
  <c r="G18" i="8"/>
  <c r="G20" i="8" s="1"/>
  <c r="G17" i="8"/>
  <c r="G19" i="8" s="1"/>
  <c r="F23" i="8"/>
  <c r="F24" i="8"/>
  <c r="F29" i="8"/>
  <c r="B31" i="8"/>
  <c r="H12" i="8"/>
  <c r="H14" i="8" s="1"/>
  <c r="B37" i="8" s="1"/>
  <c r="J41" i="8" s="1"/>
  <c r="H7" i="8"/>
  <c r="H7" i="11"/>
  <c r="H12" i="11"/>
  <c r="G18" i="11"/>
  <c r="G20" i="11"/>
  <c r="G38" i="11"/>
  <c r="H15" i="11"/>
  <c r="B43" i="11"/>
  <c r="B59" i="11"/>
  <c r="G26" i="11"/>
  <c r="G31" i="11"/>
  <c r="F25" i="21" l="1"/>
  <c r="G25" i="21" s="1"/>
  <c r="J41" i="25"/>
  <c r="B52" i="25"/>
  <c r="G26" i="21"/>
  <c r="G24" i="21"/>
  <c r="B52" i="21"/>
  <c r="J41" i="21"/>
  <c r="G28" i="21"/>
  <c r="G33" i="21" s="1"/>
  <c r="G26" i="14"/>
  <c r="F25" i="8"/>
  <c r="G25" i="8" s="1"/>
  <c r="G28" i="14"/>
  <c r="G33" i="14" s="1"/>
  <c r="G28" i="8"/>
  <c r="G33" i="8" s="1"/>
  <c r="G26" i="8"/>
  <c r="B52" i="26"/>
  <c r="J41" i="26"/>
  <c r="J41" i="14"/>
  <c r="B52" i="14"/>
  <c r="B23" i="14"/>
  <c r="B24" i="14" s="1"/>
  <c r="F25" i="14"/>
  <c r="G25" i="14" s="1"/>
  <c r="J37" i="26"/>
  <c r="G24" i="8"/>
  <c r="J37" i="25"/>
  <c r="F39" i="8"/>
  <c r="J36" i="8" s="1"/>
  <c r="J37" i="14"/>
  <c r="J37" i="20"/>
  <c r="J37" i="21"/>
  <c r="J37" i="8"/>
  <c r="J38" i="13"/>
  <c r="B52" i="8"/>
</calcChain>
</file>

<file path=xl/sharedStrings.xml><?xml version="1.0" encoding="utf-8"?>
<sst xmlns="http://schemas.openxmlformats.org/spreadsheetml/2006/main" count="3265" uniqueCount="412">
  <si>
    <t>COMPLETAR INFORMACION SOLO EN CELDAS CON COLOR AMARILLO</t>
  </si>
  <si>
    <t>EXISTEN CELDAS CON PANEL DESPLEGABLE</t>
  </si>
  <si>
    <t>Plan de ejecucion</t>
  </si>
  <si>
    <t>3.7</t>
  </si>
  <si>
    <t>Semilla</t>
  </si>
  <si>
    <t>Cristal de 3.7 mm Semilla</t>
  </si>
  <si>
    <t>716CZ00479</t>
  </si>
  <si>
    <t>JUNQUILLO  PARA CRISTAL MONOLITICO 4-6 MM</t>
  </si>
  <si>
    <t>Incoloro</t>
  </si>
  <si>
    <t>Cristal de 4 mm Incoloro</t>
  </si>
  <si>
    <t>JUNQUILLO PARA CRISTAL MONOLITICO 4-6 MM</t>
  </si>
  <si>
    <t>Saten</t>
  </si>
  <si>
    <t xml:space="preserve">Cristal de 4 mm Saten </t>
  </si>
  <si>
    <t>PROYECTO</t>
  </si>
  <si>
    <t>Cristal de 5 mm Incoloro</t>
  </si>
  <si>
    <t>COLORES</t>
  </si>
  <si>
    <t>LINEA</t>
  </si>
  <si>
    <t>ALTO HOJA</t>
  </si>
  <si>
    <t>ALTO CALCE</t>
  </si>
  <si>
    <t>RIELES</t>
  </si>
  <si>
    <t>Componente</t>
  </si>
  <si>
    <t>V1</t>
  </si>
  <si>
    <t>Cristal de 6 mm Incoloro</t>
  </si>
  <si>
    <t>CRISTAL DE 3.7 MM A 6 MM</t>
  </si>
  <si>
    <t>JUNQUILLO CORREDERA WH (3,7- 6)mm</t>
  </si>
  <si>
    <t>GRAFITO</t>
  </si>
  <si>
    <t>HOJA VENTANA CORREDERA</t>
  </si>
  <si>
    <t>Tamaño:</t>
  </si>
  <si>
    <t>Laminado</t>
  </si>
  <si>
    <t>Cristal de 6 mm Incoloro Laminado</t>
  </si>
  <si>
    <t>TERMOPANEL DE 17 MM A 20 MM</t>
  </si>
  <si>
    <t>JUNQUILLO CORREDERA WH (17-20)mm</t>
  </si>
  <si>
    <t>BLANCO</t>
  </si>
  <si>
    <t>HOJA PUERTA CORREDERA</t>
  </si>
  <si>
    <t>Serie de Perfiles:</t>
  </si>
  <si>
    <t>HOJA 80</t>
  </si>
  <si>
    <t>4 inc+10+4 inc</t>
  </si>
  <si>
    <t>Termopanel 4 mm Incoloro + 10 mm + 4 mm Incoloro</t>
  </si>
  <si>
    <t>7160Z00480</t>
  </si>
  <si>
    <t>JUNQUILLO PARA TERMOPANEL 18-20 MM</t>
  </si>
  <si>
    <t>TERMOPANEL DE 20 MM0 22 MM</t>
  </si>
  <si>
    <t>JUNQUILLO CORREDERA WH (20-22)mm</t>
  </si>
  <si>
    <t>ROBLE DORADO</t>
  </si>
  <si>
    <t>Color:</t>
  </si>
  <si>
    <t>NOGAL</t>
  </si>
  <si>
    <t>4 inc+10+4 sat</t>
  </si>
  <si>
    <t>Termopanel 4 mm Incoloro + 10 mm + 4 mm Saten</t>
  </si>
  <si>
    <t>Cantidad Rieles</t>
  </si>
  <si>
    <t>5 inc+8+5 inc</t>
  </si>
  <si>
    <t>Termopanel 5 mm Incoloro + 8 mm + 5 mm Incoloro</t>
  </si>
  <si>
    <t>NEGRO</t>
  </si>
  <si>
    <t>Vidrio:</t>
  </si>
  <si>
    <t>19 mm   -    4 inc+10+5 inc</t>
  </si>
  <si>
    <t>4 inc+10+5 inc</t>
  </si>
  <si>
    <t>Termopanel 4 mm Incoloro + 10 mm + 5 mm Incoloro</t>
  </si>
  <si>
    <t>Superficie:</t>
  </si>
  <si>
    <t>m² total</t>
  </si>
  <si>
    <t>5 inc+8+6 inc</t>
  </si>
  <si>
    <t>Termopanel 5 mm Incoloro + 8 mm + 6 mm Incoloro</t>
  </si>
  <si>
    <t>Cantidad:</t>
  </si>
  <si>
    <t>Pzas.</t>
  </si>
  <si>
    <t>5 inc+8+6 lam</t>
  </si>
  <si>
    <t>Termopanel 5 mm Incoloro + 8 mm + 6 mm Incoloro Laminado</t>
  </si>
  <si>
    <t xml:space="preserve">Peso 1 hoja Kg: </t>
  </si>
  <si>
    <t>4 inc+10+6 lam</t>
  </si>
  <si>
    <t>Termopanel 4 mm Incoloro + 10 mm + 6 mm Incoloro Laminado</t>
  </si>
  <si>
    <t>DESCRIPCION</t>
  </si>
  <si>
    <t>CANT.</t>
  </si>
  <si>
    <t>LARGO</t>
  </si>
  <si>
    <t>ANGULO DE CORTE</t>
  </si>
  <si>
    <t>POSICION</t>
  </si>
  <si>
    <t>22 mm   -    6 inc+10+6 lam</t>
  </si>
  <si>
    <t>6 inc+10+6 lam</t>
  </si>
  <si>
    <t>Termopanel 6 mm Incoloro + 10 mm + 6 mm Incoloro Laminado</t>
  </si>
  <si>
    <t>JUNQUILLO PARA TERMOPANEL 22-24 MM</t>
  </si>
  <si>
    <t>45°</t>
  </si>
  <si>
    <t>Abajo,Arriba</t>
  </si>
  <si>
    <t>Der,Izq</t>
  </si>
  <si>
    <t>7160S00101</t>
  </si>
  <si>
    <t>MARCO DOBLE RIEL CORREDERA BLANCO FIRAT</t>
  </si>
  <si>
    <t>7160S00114</t>
  </si>
  <si>
    <t>MARCO TRIPLE RIEL CORREDERA BLANCO FIRAT</t>
  </si>
  <si>
    <t>REFUERZO MARCO CORREDERA S75 1,2 MM</t>
  </si>
  <si>
    <t>90°</t>
  </si>
  <si>
    <t>7193S00001D</t>
  </si>
  <si>
    <t>MARCO DOBLE RIEL CORREDERA GOLDEN FIRAT</t>
  </si>
  <si>
    <t>7193S00014D</t>
  </si>
  <si>
    <t>MARCO TRIPLE RIEL CORREDERA GOLDEN FIRAT</t>
  </si>
  <si>
    <t>7193S00001B</t>
  </si>
  <si>
    <t>MARCO DOBLE RIEL CORREDERA NOGAL FIRAT</t>
  </si>
  <si>
    <t>7193S00014B</t>
  </si>
  <si>
    <t>MARCO TRIPLE RIEL CORREDERA NOGAL FIRAT</t>
  </si>
  <si>
    <t xml:space="preserve">HOJA CORREDERA 80 </t>
  </si>
  <si>
    <t>A-B:Abajo,A-B:Arriba</t>
  </si>
  <si>
    <t>7193S00001L</t>
  </si>
  <si>
    <t>MARCO DOBLE RIEL CORREDERA GRAFITO</t>
  </si>
  <si>
    <t>7193S00014L</t>
  </si>
  <si>
    <t>MARCO TRIPLE RIEL CORREDERA GRAFITO</t>
  </si>
  <si>
    <t>A-B:Der,A-B:Izq</t>
  </si>
  <si>
    <t>7193S00018Q</t>
  </si>
  <si>
    <t>MARCO DOBLE RIEL CORREDERA BLACK</t>
  </si>
  <si>
    <t>7193S00019Q</t>
  </si>
  <si>
    <t>MARCO TRIPLE RIEL CORREDERA BLACK</t>
  </si>
  <si>
    <t>REF. NEW MULTIPLE 1,2</t>
  </si>
  <si>
    <t>REFUERZO CONTRAFLECHA</t>
  </si>
  <si>
    <t>A:Der, B:Izq</t>
  </si>
  <si>
    <t>TRASLAPO S75 CORREDERA 80</t>
  </si>
  <si>
    <t>AB:V,AB:V</t>
  </si>
  <si>
    <t>716CS00102</t>
  </si>
  <si>
    <t>HOJA CORREDERA BLANCO FIRAT</t>
  </si>
  <si>
    <t>RIEL DE ALUMINIO WINHOUSE</t>
  </si>
  <si>
    <t>Abajo</t>
  </si>
  <si>
    <t>7193S00002D</t>
  </si>
  <si>
    <t>HOJA CORREDERA GOLDEN FIRAT</t>
  </si>
  <si>
    <t>7193S00002B</t>
  </si>
  <si>
    <t>HOJA CORREDERA NOGAL FIRAT</t>
  </si>
  <si>
    <t>7193S00002L</t>
  </si>
  <si>
    <t>HOJA CORREDERA GRAFITO</t>
  </si>
  <si>
    <t>7193S00002Q</t>
  </si>
  <si>
    <t>HOJA CORREDERA BLACK</t>
  </si>
  <si>
    <t>Codigo</t>
  </si>
  <si>
    <t>Descripcion</t>
  </si>
  <si>
    <t>Ancho</t>
  </si>
  <si>
    <t>Alto</t>
  </si>
  <si>
    <t>Cantidad</t>
  </si>
  <si>
    <t>Posicion</t>
  </si>
  <si>
    <t>7160S00104</t>
  </si>
  <si>
    <t>TRASLAPO CORREDERA BLANCO</t>
  </si>
  <si>
    <t>Hoja</t>
  </si>
  <si>
    <t>7193S00104D</t>
  </si>
  <si>
    <t>TRASLAPO CORREDERA GOLDEN OAK</t>
  </si>
  <si>
    <t>7193S00104B</t>
  </si>
  <si>
    <t>TRASLAPO CORREDERA NOGAL FIRAT</t>
  </si>
  <si>
    <t>Pieza</t>
  </si>
  <si>
    <t>Tornillo</t>
  </si>
  <si>
    <t>7193S00104Q</t>
  </si>
  <si>
    <t>TRASLAPO CORREDERA BLACK</t>
  </si>
  <si>
    <t>(Und.)</t>
  </si>
  <si>
    <t>CERRADERO</t>
  </si>
  <si>
    <t xml:space="preserve">3,9 Х 25 PUNTA AGUJA </t>
  </si>
  <si>
    <t>71930S00020</t>
  </si>
  <si>
    <t>TRASLAPO PUERTA CORREDERA BLANCO</t>
  </si>
  <si>
    <t>CREMONA</t>
  </si>
  <si>
    <t>3,9 Х 75 AUTOPERFORANTE</t>
  </si>
  <si>
    <t>7193S00020D</t>
  </si>
  <si>
    <t>TRASLAPO PUERTA CORREDERA GOLDEN OAK</t>
  </si>
  <si>
    <t>REFUERZOS</t>
  </si>
  <si>
    <t xml:space="preserve">3,9x25 AUTOPERFORANTE  </t>
  </si>
  <si>
    <t>7193S00020B</t>
  </si>
  <si>
    <t>TRASLAPO PUERTA CORREDERA NOGAL</t>
  </si>
  <si>
    <t>CERRADERO CORREDERA</t>
  </si>
  <si>
    <t>INSTALACION</t>
  </si>
  <si>
    <t>TORNILLO AMO 3 80mm.</t>
  </si>
  <si>
    <t>7193S00020L</t>
  </si>
  <si>
    <t>TRASLAPO PUERTA CORREDERA GRAFITO</t>
  </si>
  <si>
    <t>SEGURO ANTIELEVACION</t>
  </si>
  <si>
    <t>TOPE ESTANCO</t>
  </si>
  <si>
    <t xml:space="preserve">3,9 Х 16 PUNTA AGUJA </t>
  </si>
  <si>
    <t>7193S00020Q</t>
  </si>
  <si>
    <t>TRASLAPO PUERTA CORREDERA BLACK</t>
  </si>
  <si>
    <t>CARROS</t>
  </si>
  <si>
    <t>ANTIELEVACION</t>
  </si>
  <si>
    <t>4,2 X 35 PUNTA AGUJA</t>
  </si>
  <si>
    <t>716CS00106</t>
  </si>
  <si>
    <t>JUNQUILLO 17-20 MM CORREDERA BLANCO FIRAT</t>
  </si>
  <si>
    <t>MANILLA</t>
  </si>
  <si>
    <t>M5 X 45</t>
  </si>
  <si>
    <t>7193S00106D</t>
  </si>
  <si>
    <t>JUNQUILLO 17-20 MM CORREDERA GOLDEN FIRAT</t>
  </si>
  <si>
    <t>TOPE 90°</t>
  </si>
  <si>
    <t>4,2 X 50 AUTOPERFORANTE</t>
  </si>
  <si>
    <t>7193S00106B</t>
  </si>
  <si>
    <t>JUNQUILLO 17-20 MM CORREDERA NOGAL FIRAT</t>
  </si>
  <si>
    <t>TOPE AMORTIGUADOR 13MM</t>
  </si>
  <si>
    <t>7193S00106L</t>
  </si>
  <si>
    <t>JUNQUILLO 17- 20 mm CORREDERA GRAFITO</t>
  </si>
  <si>
    <t>FELPA 7X6 FILM SEAL 300 MTS</t>
  </si>
  <si>
    <t>(Mtrs)</t>
  </si>
  <si>
    <t>7193S00106Q</t>
  </si>
  <si>
    <t>JUNQUILLO 17-20 MM CORREDERA BLACK</t>
  </si>
  <si>
    <t>716CZ00004</t>
  </si>
  <si>
    <t>JUNQUILLO 20-22 MM CORREDERA BLANCO FIRAT</t>
  </si>
  <si>
    <t xml:space="preserve">PUENTE DE ACRISTALAR CORREDERA </t>
  </si>
  <si>
    <t>7193Z00004D</t>
  </si>
  <si>
    <t>JUNQUILLO 20-22-MM CORREDERA GOLDEN FIRAT</t>
  </si>
  <si>
    <t>CALZO DE ACRISTALAR 100X20X2 AZUL  - M</t>
  </si>
  <si>
    <t>7193Z00004B</t>
  </si>
  <si>
    <t>JUNQUILLO 20-22 MM CORREDERA NOGAL FIRAT</t>
  </si>
  <si>
    <t>CALZO ACRISTALAR 20 x 100 x 3  ROJO - M</t>
  </si>
  <si>
    <t>7193Z00004L</t>
  </si>
  <si>
    <t>JUNQUILLO 20 - 22 mm CORREDERA GRAFITO</t>
  </si>
  <si>
    <t>CALZO ACRISTALAR 20 x 100 x 4 AMARILLO - M</t>
  </si>
  <si>
    <t>7193Z00004Q</t>
  </si>
  <si>
    <t>JUNQUILLO 20-22 MM CORREDERA BLACK</t>
  </si>
  <si>
    <t>716CS00105</t>
  </si>
  <si>
    <t>JUNQUILLO 3-5 MM CORREDERA BLANCO FIRAT</t>
  </si>
  <si>
    <t>SUPLEMENTO CELSUS 16,5 MM.</t>
  </si>
  <si>
    <t>7193S00105D</t>
  </si>
  <si>
    <t>JUNQUILLO 3-5 MM CORREDERA GOLDEN FIRAT</t>
  </si>
  <si>
    <t>SUPLEMENTO CELSUS 13 MM</t>
  </si>
  <si>
    <t>7193S00105B</t>
  </si>
  <si>
    <t>JUNQUILLO 3-5 MM CORREDERA NOGAL FIRAT</t>
  </si>
  <si>
    <t>APOYO CERRADERO 9 X 9</t>
  </si>
  <si>
    <t>7193S00105L</t>
  </si>
  <si>
    <t>JUNQUILLO 3 - 5 mm CORREDERA GRAFITO</t>
  </si>
  <si>
    <t>7193S00105Q</t>
  </si>
  <si>
    <t>JUNQUILLO 3-5 MM CORREDERA BLACK</t>
  </si>
  <si>
    <t>HOJA 98</t>
  </si>
  <si>
    <t>Peso 1 Hoja Kg:</t>
  </si>
  <si>
    <t>REFUERZO MARCO S75 CORREDERA S75 1,2 MM</t>
  </si>
  <si>
    <t>HOJA CORREDERA 98</t>
  </si>
  <si>
    <t>A-B:Abajo,A-B:Arriba,</t>
  </si>
  <si>
    <t>A:Der,A:Izq,B:Der,B:Izq</t>
  </si>
  <si>
    <t>TRASLAPO S75 CORREDERA 98</t>
  </si>
  <si>
    <t>SUPLEMENTO CELSUS 16,5 MM + 18,5 MM.</t>
  </si>
  <si>
    <t>SUPLEMENTO CELSUS 30 MM</t>
  </si>
  <si>
    <t>MARCO TRIPLE RIEL S75</t>
  </si>
  <si>
    <t>HOJA CORREDERA 80</t>
  </si>
  <si>
    <t>A-B-C:Abajo,A-B-C:Arriba</t>
  </si>
  <si>
    <t>A:Der, B:Izq, B:Der, C:Izq</t>
  </si>
  <si>
    <t>TRASLAPO CORREDERA S75 80</t>
  </si>
  <si>
    <t>SUPLEMENTO CELSUS 13 MM.</t>
  </si>
  <si>
    <t>TRASLAPO FALSO</t>
  </si>
  <si>
    <t>TRASLAPO CORREDERA 98 S75</t>
  </si>
  <si>
    <t>TIPO DE CRISTAL</t>
  </si>
  <si>
    <t>JUNQUILLO ANDES PARA CRISTAL MONOLITICO 4-6 MM</t>
  </si>
  <si>
    <t>Herrajes:</t>
  </si>
  <si>
    <t>WINHOUSE-FORNAX</t>
  </si>
  <si>
    <t>m²</t>
  </si>
  <si>
    <t>Peso hoja A Kg:</t>
  </si>
  <si>
    <t>Peso Hoja B Kg:</t>
  </si>
  <si>
    <t>MARCO DOBLE RIEL CORREDERA S75</t>
  </si>
  <si>
    <t>7160Z00488</t>
  </si>
  <si>
    <t>JUNQUILLO PARA TERMOPANEL 20-22 MM</t>
  </si>
  <si>
    <t>A:Abajo,A:Arriba</t>
  </si>
  <si>
    <t>JUNQUILLO ANDES PARA TERMOPANEL 18-20 MM</t>
  </si>
  <si>
    <t>B:Abajo,B:Arriba</t>
  </si>
  <si>
    <t>REFUERZO PUERTA CORREDERA ANDES 1.2 MM</t>
  </si>
  <si>
    <t>A:EX1:V</t>
  </si>
  <si>
    <t xml:space="preserve">RIEL DE ALUMINIO </t>
  </si>
  <si>
    <t>Hoja A</t>
  </si>
  <si>
    <t>Hoja B</t>
  </si>
  <si>
    <t>A</t>
  </si>
  <si>
    <t>B</t>
  </si>
  <si>
    <t xml:space="preserve">3,9x16 AUTOPERFORANTE  </t>
  </si>
  <si>
    <t>HOJA A</t>
  </si>
  <si>
    <t>HOJA B</t>
  </si>
  <si>
    <t>REFUERZO MARCO CORREDERA 1,2 MM</t>
  </si>
  <si>
    <t>TRASLAPO CORREDERA 98</t>
  </si>
  <si>
    <t>18 mm   -    5 inc+8+5 inc</t>
  </si>
  <si>
    <t>A-B-C-D:Abajo,A-B-C-D:Arriba</t>
  </si>
  <si>
    <t>A:Der,A:Izq,B:Der,B:Izq,C:Der,C:Izq,D:Der,D:Izq</t>
  </si>
  <si>
    <t>A:Der, B:Izq, C:Der, D:Izq</t>
  </si>
  <si>
    <t>ADAPTADOR 4TA HOJA</t>
  </si>
  <si>
    <t>EXT</t>
  </si>
  <si>
    <t>7193S00104L</t>
  </si>
  <si>
    <t>TRASLAPO CORREDERA GRAFITO</t>
  </si>
  <si>
    <t>LIMITADOR CUARTA HOJA</t>
  </si>
  <si>
    <t>Peso 1 Hoja Kg</t>
  </si>
  <si>
    <t>A-B-C-D:Der,A-B-C-D:Izq</t>
  </si>
  <si>
    <t>A:Abajo,A:Arriba,B:Abajo,B:Arriba</t>
  </si>
  <si>
    <t xml:space="preserve">TRASLAPO FALSO </t>
  </si>
  <si>
    <t>Peso hoja A-C Kg:</t>
  </si>
  <si>
    <t>MARCO DOBLE RIEL CORREDERA  S75</t>
  </si>
  <si>
    <t>REFUERZO MARCO S75 CORREDERA 1,2 MM</t>
  </si>
  <si>
    <t>AC:Abajo,AC:Arriba</t>
  </si>
  <si>
    <t>A-B-C:Der,Izq</t>
  </si>
  <si>
    <t>REFUERZO NEW MULTIPLE 1,2 MM</t>
  </si>
  <si>
    <t>A-C:Abajo, Arriba</t>
  </si>
  <si>
    <t>Hoja A-C</t>
  </si>
  <si>
    <t>A-C</t>
  </si>
  <si>
    <t>HOJA A-C</t>
  </si>
  <si>
    <t>HOJA A - C</t>
  </si>
  <si>
    <t>CREMONAS</t>
  </si>
  <si>
    <t>MANILLAS</t>
  </si>
  <si>
    <t>CERRADEROS</t>
  </si>
  <si>
    <t>TORNILLOS</t>
  </si>
  <si>
    <t>BRAZOS</t>
  </si>
  <si>
    <t>BISAGRA</t>
  </si>
  <si>
    <t>Cilindro</t>
  </si>
  <si>
    <t>Conectores y tapas</t>
  </si>
  <si>
    <t>Silicona</t>
  </si>
  <si>
    <t>Puentes y calzos</t>
  </si>
  <si>
    <t>CREMONA CORREDERA E7.5 400MM</t>
  </si>
  <si>
    <t>MANILLA ALUMINIO VENTANA BLANCO</t>
  </si>
  <si>
    <t>CARRO CELSUS 230 KG REGULABLE</t>
  </si>
  <si>
    <t xml:space="preserve">3,9x13 AUTOPERFORANTE </t>
  </si>
  <si>
    <t>BRAZO FERRITICO AC. INOX COST 203</t>
  </si>
  <si>
    <t>BISAGRA 100mm . NEGRO CON CLAVIJA DE SEGURIDAD</t>
  </si>
  <si>
    <t>CILINDRO 83mm PUERTA DE ABATIR</t>
  </si>
  <si>
    <t>CONECTOR DE POSTE O UNION MECANICA WINHOUSE</t>
  </si>
  <si>
    <t>SILICONA NEUTRA 300gr, NEGRO</t>
  </si>
  <si>
    <t>PUENTE DE ACRISTALAR ANDES</t>
  </si>
  <si>
    <t>CREMONA CORREDERA E7.5 600MM</t>
  </si>
  <si>
    <t>MANILLA ALUMINIO VENTANA MARRON</t>
  </si>
  <si>
    <t>CERRADERO 13MM  importado</t>
  </si>
  <si>
    <t>BRAZO FERRITICO AC. INOX COST 254</t>
  </si>
  <si>
    <t>BISAGRA 100mm . MARRON CON CLAVIJA DE SEGURIDAD</t>
  </si>
  <si>
    <t>CILINDRO 90mm PUERTA DE ABATIR</t>
  </si>
  <si>
    <t>CONECTOR ZAPATA ALUMINIO BLANCO</t>
  </si>
  <si>
    <t>SILICONA NEUTRA 300gr. BLANCO</t>
  </si>
  <si>
    <t xml:space="preserve">ROBLE </t>
  </si>
  <si>
    <t>ROBLE</t>
  </si>
  <si>
    <t>CREMONA CORREDERA E7.5 800MM</t>
  </si>
  <si>
    <t>MANILLA ALUMINIO VENTANA NEGRO</t>
  </si>
  <si>
    <t>CARRO CELSUS 60 KG REGULABLE</t>
  </si>
  <si>
    <t>CERRADERO CENTRAL PUERTA</t>
  </si>
  <si>
    <t xml:space="preserve">3,9x19 AUTOPERFORANTE  </t>
  </si>
  <si>
    <t>BRAZO FERRITICO AC. INOX COST 305</t>
  </si>
  <si>
    <t>BISAGRA 100mm . BLANCO CON CLAVIJA DE SEGURIDAD</t>
  </si>
  <si>
    <t>CONECTOR ZAPATA ALUMINIO CAFÉ</t>
  </si>
  <si>
    <t>SILICONA NEUTRA 300gr. TOFFE</t>
  </si>
  <si>
    <t xml:space="preserve">PUENTE DE ACRISTALAR ABATIBLE </t>
  </si>
  <si>
    <t>CREMONA CORREDERA E7.5 1000MM</t>
  </si>
  <si>
    <t>MANILLA ALUMINIO VENTANA GRIS</t>
  </si>
  <si>
    <t>CARRO CELSUS 120 KG REGULABLE</t>
  </si>
  <si>
    <t>CERRADERO CENTRAL PUERTA PARA BATIENTE</t>
  </si>
  <si>
    <t xml:space="preserve">3,9x25 AUTOPERFORANTE </t>
  </si>
  <si>
    <t>BRAZO FERRITICO AC. INOX COST 406</t>
  </si>
  <si>
    <t>BISAGRA 100mm . GRIS CON CLAVIJA DE SEGURIDAD</t>
  </si>
  <si>
    <t>CONECTOR ZAPATA ALUMINIO GRIS</t>
  </si>
  <si>
    <t>SILICONA NEUTRA 300gr. MARRON</t>
  </si>
  <si>
    <t>CREMONA CORREDERA E7.5 1200MM</t>
  </si>
  <si>
    <t>MANILLA PUERTA PARA CILINDRO BLANCO 35/92mm</t>
  </si>
  <si>
    <t>CERRADERO PARA BATIENTE</t>
  </si>
  <si>
    <t>BRAZO FERRITICO AC. INOX COST 508</t>
  </si>
  <si>
    <t>BISAGRA PUERTA 3D AJUSTABLE 125kg. PAVO BLANCO</t>
  </si>
  <si>
    <t>TOPE ESTANCO S75 WINHOUSE BLANCO</t>
  </si>
  <si>
    <t>SILICONA ANTRACITA 290ML</t>
  </si>
  <si>
    <t>CREMONA CORREDERA E7.5 1400MM</t>
  </si>
  <si>
    <t>MANILLA PUERTA PARA CILINDRO MARRON 35/92mm</t>
  </si>
  <si>
    <t>CERRADERO CENTRAL PUERTA BATIENTE</t>
  </si>
  <si>
    <t xml:space="preserve">3,9 Х 22 PUNTA AGUJA </t>
  </si>
  <si>
    <t>BRAZO FERRITICO AC. INOX COST 610</t>
  </si>
  <si>
    <t>BISAGRA PUERTA 3D AJUSTABLE 125kg. PAVO MARRON</t>
  </si>
  <si>
    <t>TOPE ESTANCO S75 WINHOUSE CAFÉ</t>
  </si>
  <si>
    <t>CREMONA CORREDERA E7.5 1800MM</t>
  </si>
  <si>
    <t>MANILLA PUERTA PARA CILINDRO NEGRO 35/92mm</t>
  </si>
  <si>
    <t>CERRADERO PICAPORTE</t>
  </si>
  <si>
    <t>BISAGRA PUERTA 3D AJUSTABLE 125kg. PAVO NEGRO</t>
  </si>
  <si>
    <t>TOPE ESTANCO S75 WINHOUSE GRIS</t>
  </si>
  <si>
    <t>CALZO ACRISTALAR 20 x 100 x 5 VERDE -M</t>
  </si>
  <si>
    <t>CREMONA CORREDERA E15 210mm</t>
  </si>
  <si>
    <t>MANILLA ESTRECHA NEGRO</t>
  </si>
  <si>
    <t>KIT CIERRE OCULTO 13mm</t>
  </si>
  <si>
    <t>BISAGRA PUERTA 3D AJUSTABLE 130kg.  BLANCO</t>
  </si>
  <si>
    <t>TAPA DEFLECTORA BLANCA-NACIONAL</t>
  </si>
  <si>
    <t>CALZO DE ACRISTALAR 100X20X1 BLANCO</t>
  </si>
  <si>
    <t>CREMONA CORREDERA E15 400mm</t>
  </si>
  <si>
    <t>MANILLA ESTRECHA MARRON</t>
  </si>
  <si>
    <t>TAPA DEFLECTORA MARRON-NACIONAL</t>
  </si>
  <si>
    <t xml:space="preserve">CALZO DE ACRISTALAR 100X20X2 AZUL </t>
  </si>
  <si>
    <t>CREMONA CORREDERA E15 600mm</t>
  </si>
  <si>
    <t>MANILLA ESTRECHA BLANCO</t>
  </si>
  <si>
    <t>TAPA DESAGÜE BLANCO</t>
  </si>
  <si>
    <t>CALZO ACRISTALAR 20 x 100 x 3  ROJO</t>
  </si>
  <si>
    <t>CREMONA CORREDERA E15 800mm</t>
  </si>
  <si>
    <t>MANILLA DE PARCHE BLANCA LINEA ANDES DERECHA</t>
  </si>
  <si>
    <t xml:space="preserve">TAPA DESAGUE MARRON </t>
  </si>
  <si>
    <t>CALZO ACRISTALAR 20 x 100 x 4 AMARILLO</t>
  </si>
  <si>
    <t>CREMONA CORREDERA E15 1000mm</t>
  </si>
  <si>
    <t>MANILLA DE PARCHE BLANCA LINEA ANDES IZQUIERDA</t>
  </si>
  <si>
    <t>TAPA DESAGÜE MARRON</t>
  </si>
  <si>
    <t>CREMONA CORREDERA E15 1200mm</t>
  </si>
  <si>
    <t>TAPA DESAGÜE NEGRO</t>
  </si>
  <si>
    <t>CREMONA CORREDERA E15 1400mm</t>
  </si>
  <si>
    <t>TAPA DESAGÜE GRIS</t>
  </si>
  <si>
    <t>CREMONA CORREDERA E15 1600MM</t>
  </si>
  <si>
    <t>TAPA BATIENTE WINHOUSE BLANCO</t>
  </si>
  <si>
    <t>CREMONA CORREDERA E15 1800MM</t>
  </si>
  <si>
    <t>TAPA BATIENTE WINHOUSE CAFÉ</t>
  </si>
  <si>
    <t>CREMONA CORREDERA E15 2000MM</t>
  </si>
  <si>
    <t>TAPA BATIENTE WINHOUSE GRIS</t>
  </si>
  <si>
    <t>CREMONA ABATIR EXTERIOR 210MM E/25</t>
  </si>
  <si>
    <t xml:space="preserve">TAPA TORNILLO AMO 3 BLANCO </t>
  </si>
  <si>
    <t>CREMONA ABATIR EXTERIOR 400MM E/25</t>
  </si>
  <si>
    <t xml:space="preserve">TAPA TORNILLO AMO 3 MARRON </t>
  </si>
  <si>
    <t>CREMONA ABATIR EXTERIOR 600MM E/25</t>
  </si>
  <si>
    <t>CREMONA ABATIR EXTERIOR 800MM E/25</t>
  </si>
  <si>
    <t>CREMONA ABATIR EXTERIOR 1000MM E/25</t>
  </si>
  <si>
    <t>TAPA TORNILLO AMO 3 NEGRO</t>
  </si>
  <si>
    <t>CREMONA ABATIR EXTERIOR 1200MM E/25</t>
  </si>
  <si>
    <t>CREMONA ABATIR EXTERIOR 1400MM E/25</t>
  </si>
  <si>
    <t>TOPE AMORTIGUADOR 10mm.</t>
  </si>
  <si>
    <t>CREMONA ABATIR EXTERIOR 1600MM E/25</t>
  </si>
  <si>
    <t xml:space="preserve">TOPE CORREDERA 90º NEGRO </t>
  </si>
  <si>
    <t>CREMONA ABATIR EXTERIOR 1800MM E/25</t>
  </si>
  <si>
    <t xml:space="preserve">TOPE CORREDERA 90º BLANCO </t>
  </si>
  <si>
    <t xml:space="preserve">CREMONA ABATIR EXTERIOR 210mm E/22 </t>
  </si>
  <si>
    <t xml:space="preserve">CREMONA ABATIR EXTERIOR 400mm E/22. </t>
  </si>
  <si>
    <t xml:space="preserve">CREMONA ABATIR EXTERIOR 600/22mm. </t>
  </si>
  <si>
    <t xml:space="preserve">CREMONA ABATIR EXTERIOR 800/22mm. </t>
  </si>
  <si>
    <t>CREMONA PUERTA 1800/35/92mm</t>
  </si>
  <si>
    <t>CREMONA PUERTA 2000/35/92mm</t>
  </si>
  <si>
    <t>CREMONA ABATIR EXTERIOR VARIABLE 22/628</t>
  </si>
  <si>
    <t>CREMONA ABATIR EXTERIOR VARIABLE 22/830</t>
  </si>
  <si>
    <t>CREMONA ABATIR EXTERIOR VARIABLE 22/1130</t>
  </si>
  <si>
    <t>CREMONA ABATIR EXTERIOR VARIABLE 25/628</t>
  </si>
  <si>
    <t>CREMONA ABATIR EXTERIOR VARIABLE 25/830</t>
  </si>
  <si>
    <t>CREMONA ABATIR EXTERIOR VARIABLE 25/1130</t>
  </si>
  <si>
    <t>CREMONA ABATIR INTERIOR 400/15mm.</t>
  </si>
  <si>
    <t>CREMONA ABATIR INTERIOR 600/15mm.</t>
  </si>
  <si>
    <t>CREMONA ABATIR INTERIOR 800/15mm.</t>
  </si>
  <si>
    <t>CREMONA ABATIR INTERIOR 1000/15mm.</t>
  </si>
  <si>
    <t>CREMONA ABATIR INTERIOR 1200/15mm.</t>
  </si>
  <si>
    <t>CREMONA ABATIR INTERIOR 1400/15mm.</t>
  </si>
  <si>
    <t>CREMONA ABATIR INTERIOR 1600/15mm.</t>
  </si>
  <si>
    <t>CREMONA ABATIR INTERIOR 1800/15mm.</t>
  </si>
  <si>
    <t>CREMONA ABATIR INTERIOR 2000/15mm.</t>
  </si>
  <si>
    <t>17 mm a 20 mm</t>
  </si>
  <si>
    <t>3.7 mm a 6 mm</t>
  </si>
  <si>
    <t>20 mm a 22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</si>
</sst>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0.000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sz val="18"/>
      <color theme="1"/>
      <name val="Tahoma"/>
      <family val="2"/>
    </font>
    <font>
      <b/>
      <sz val="8"/>
      <color rgb="FF000000"/>
      <name val="Tahoma"/>
      <family val="2"/>
    </font>
    <font>
      <sz val="8.25"/>
      <color rgb="FF000000"/>
      <name val="Tahoma"/>
      <family val="2"/>
    </font>
    <font>
      <b/>
      <sz val="28"/>
      <color theme="1"/>
      <name val="Tahoma"/>
      <family val="2"/>
    </font>
    <font>
      <b/>
      <sz val="8.25"/>
      <color rgb="FFFF0000"/>
      <name val="Tahoma"/>
      <family val="2"/>
    </font>
    <font>
      <b/>
      <sz val="11"/>
      <color theme="1"/>
      <name val="Tahoma"/>
      <family val="2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 Tur"/>
      <charset val="162"/>
    </font>
    <font>
      <sz val="11"/>
      <color indexed="8"/>
      <name val="Calibri"/>
      <family val="2"/>
      <charset val="1"/>
    </font>
    <font>
      <sz val="10"/>
      <name val="Arial Tur"/>
      <family val="2"/>
      <charset val="162"/>
    </font>
    <font>
      <sz val="10"/>
      <name val="Arial"/>
      <family val="2"/>
      <charset val="1"/>
    </font>
    <font>
      <sz val="8"/>
      <name val="Tahoma"/>
      <family val="2"/>
    </font>
    <font>
      <sz val="10"/>
      <name val="Arial"/>
      <family val="2"/>
    </font>
    <font>
      <b/>
      <sz val="36"/>
      <color theme="1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12"/>
      <color theme="1"/>
      <name val="Tahoma"/>
      <family val="2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rgb="FFAEB6C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EB6C1"/>
      </right>
      <top style="thin">
        <color rgb="FFAEB6C1"/>
      </top>
      <bottom style="thin">
        <color rgb="FFAEB6C1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AEB6C1"/>
      </right>
      <top/>
      <bottom style="thin">
        <color rgb="FFAEB6C1"/>
      </bottom>
      <diagonal/>
    </border>
    <border>
      <left style="thin">
        <color rgb="FFAEB6C1"/>
      </left>
      <right style="thin">
        <color rgb="FFAEB6C1"/>
      </right>
      <top/>
      <bottom style="thin">
        <color rgb="FFAEB6C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medium">
        <color theme="3"/>
      </right>
      <top style="medium">
        <color indexed="64"/>
      </top>
      <bottom style="medium">
        <color theme="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indexed="64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indexed="64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indexed="64"/>
      </right>
      <top/>
      <bottom style="medium">
        <color theme="3"/>
      </bottom>
      <diagonal/>
    </border>
    <border>
      <left/>
      <right style="medium">
        <color theme="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16" fillId="0" borderId="0"/>
    <xf numFmtId="0" fontId="17" fillId="0" borderId="0">
      <alignment vertical="center"/>
    </xf>
    <xf numFmtId="0" fontId="13" fillId="0" borderId="5" applyNumberFormat="0" applyFill="0" applyAlignment="0" applyProtection="0"/>
    <xf numFmtId="0" fontId="19" fillId="0" borderId="0"/>
    <xf numFmtId="0" fontId="22" fillId="0" borderId="0"/>
  </cellStyleXfs>
  <cellXfs count="3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8" fillId="0" borderId="0" xfId="9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" fontId="18" fillId="0" borderId="6" xfId="9" applyNumberFormat="1" applyFont="1" applyBorder="1" applyAlignment="1">
      <alignment horizontal="center" vertical="center" wrapText="1"/>
    </xf>
    <xf numFmtId="0" fontId="21" fillId="3" borderId="6" xfId="3" applyFont="1" applyFill="1" applyBorder="1" applyAlignment="1" applyProtection="1">
      <alignment horizontal="left" vertical="center"/>
      <protection hidden="1"/>
    </xf>
    <xf numFmtId="0" fontId="21" fillId="3" borderId="6" xfId="1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49" fontId="6" fillId="0" borderId="10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18" fillId="0" borderId="9" xfId="9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  <xf numFmtId="0" fontId="21" fillId="3" borderId="6" xfId="3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6" xfId="9" applyFont="1" applyBorder="1" applyAlignment="1">
      <alignment horizontal="center" vertical="center" wrapText="1"/>
    </xf>
    <xf numFmtId="0" fontId="18" fillId="0" borderId="16" xfId="9" applyFont="1" applyBorder="1" applyAlignment="1">
      <alignment horizontal="center" vertical="center" wrapText="1"/>
    </xf>
    <xf numFmtId="0" fontId="18" fillId="0" borderId="17" xfId="9" applyFont="1" applyBorder="1" applyAlignment="1">
      <alignment horizontal="center" vertical="center" wrapText="1"/>
    </xf>
    <xf numFmtId="0" fontId="18" fillId="0" borderId="9" xfId="9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6" fontId="26" fillId="0" borderId="6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/>
    </xf>
    <xf numFmtId="0" fontId="18" fillId="0" borderId="22" xfId="9" applyFont="1" applyBorder="1" applyAlignment="1">
      <alignment horizontal="center" vertical="center" wrapText="1"/>
    </xf>
    <xf numFmtId="1" fontId="18" fillId="0" borderId="22" xfId="9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right" vertical="center"/>
      <protection locked="0"/>
    </xf>
    <xf numFmtId="1" fontId="1" fillId="0" borderId="6" xfId="0" applyNumberFormat="1" applyFont="1" applyBorder="1" applyAlignment="1">
      <alignment horizontal="left" vertical="center"/>
    </xf>
    <xf numFmtId="0" fontId="0" fillId="6" borderId="21" xfId="0" applyFill="1" applyBorder="1"/>
    <xf numFmtId="0" fontId="0" fillId="6" borderId="23" xfId="0" applyFill="1" applyBorder="1"/>
    <xf numFmtId="1" fontId="27" fillId="5" borderId="21" xfId="3" applyNumberFormat="1" applyFont="1" applyFill="1" applyBorder="1" applyAlignment="1" applyProtection="1">
      <alignment horizontal="left"/>
      <protection hidden="1"/>
    </xf>
    <xf numFmtId="1" fontId="27" fillId="5" borderId="21" xfId="3" applyNumberFormat="1" applyFont="1" applyFill="1" applyBorder="1" applyAlignment="1" applyProtection="1">
      <alignment horizontal="left" vertical="center"/>
      <protection hidden="1"/>
    </xf>
    <xf numFmtId="1" fontId="27" fillId="5" borderId="21" xfId="3" applyNumberFormat="1" applyFont="1" applyFill="1" applyBorder="1" applyProtection="1">
      <protection hidden="1"/>
    </xf>
    <xf numFmtId="1" fontId="27" fillId="5" borderId="21" xfId="5" applyNumberFormat="1" applyFont="1" applyFill="1" applyBorder="1" applyAlignment="1" applyProtection="1">
      <alignment horizontal="left"/>
      <protection hidden="1"/>
    </xf>
    <xf numFmtId="1" fontId="27" fillId="5" borderId="24" xfId="4" applyNumberFormat="1" applyFont="1" applyFill="1" applyBorder="1" applyAlignment="1" applyProtection="1">
      <alignment horizontal="left" vertical="center"/>
      <protection hidden="1"/>
    </xf>
    <xf numFmtId="1" fontId="27" fillId="5" borderId="24" xfId="3" applyNumberFormat="1" applyFont="1" applyFill="1" applyBorder="1" applyAlignment="1" applyProtection="1">
      <alignment horizontal="left"/>
      <protection hidden="1"/>
    </xf>
    <xf numFmtId="1" fontId="27" fillId="5" borderId="24" xfId="3" applyNumberFormat="1" applyFont="1" applyFill="1" applyBorder="1" applyAlignment="1" applyProtection="1">
      <alignment horizontal="left" vertical="center"/>
      <protection hidden="1"/>
    </xf>
    <xf numFmtId="0" fontId="27" fillId="5" borderId="21" xfId="0" applyFont="1" applyFill="1" applyBorder="1" applyAlignment="1">
      <alignment horizontal="left"/>
    </xf>
    <xf numFmtId="1" fontId="27" fillId="5" borderId="21" xfId="5" applyNumberFormat="1" applyFont="1" applyFill="1" applyBorder="1" applyAlignment="1" applyProtection="1">
      <alignment horizontal="left" vertical="center"/>
      <protection hidden="1"/>
    </xf>
    <xf numFmtId="0" fontId="0" fillId="5" borderId="21" xfId="0" applyFill="1" applyBorder="1"/>
    <xf numFmtId="0" fontId="27" fillId="5" borderId="21" xfId="4" applyFont="1" applyFill="1" applyBorder="1" applyAlignment="1" applyProtection="1">
      <alignment horizontal="left"/>
      <protection hidden="1"/>
    </xf>
    <xf numFmtId="1" fontId="27" fillId="5" borderId="21" xfId="6" applyNumberFormat="1" applyFont="1" applyFill="1" applyBorder="1" applyAlignment="1">
      <alignment horizontal="left" vertical="center"/>
    </xf>
    <xf numFmtId="1" fontId="27" fillId="5" borderId="21" xfId="3" applyNumberFormat="1" applyFont="1" applyFill="1" applyBorder="1"/>
    <xf numFmtId="1" fontId="27" fillId="5" borderId="21" xfId="3" applyNumberFormat="1" applyFont="1" applyFill="1" applyBorder="1" applyAlignment="1" applyProtection="1">
      <alignment vertical="center"/>
      <protection hidden="1"/>
    </xf>
    <xf numFmtId="1" fontId="27" fillId="5" borderId="21" xfId="5" applyNumberFormat="1" applyFont="1" applyFill="1" applyBorder="1" applyAlignment="1" applyProtection="1">
      <alignment vertical="center"/>
      <protection hidden="1"/>
    </xf>
    <xf numFmtId="1" fontId="27" fillId="5" borderId="24" xfId="5" applyNumberFormat="1" applyFont="1" applyFill="1" applyBorder="1" applyAlignment="1" applyProtection="1">
      <alignment horizontal="left" vertical="center"/>
      <protection hidden="1"/>
    </xf>
    <xf numFmtId="1" fontId="27" fillId="5" borderId="24" xfId="0" applyNumberFormat="1" applyFont="1" applyFill="1" applyBorder="1" applyAlignment="1" applyProtection="1">
      <alignment vertical="center"/>
      <protection hidden="1"/>
    </xf>
    <xf numFmtId="1" fontId="27" fillId="5" borderId="24" xfId="0" applyNumberFormat="1" applyFont="1" applyFill="1" applyBorder="1" applyAlignment="1" applyProtection="1">
      <alignment horizontal="left" vertical="center"/>
      <protection hidden="1"/>
    </xf>
    <xf numFmtId="1" fontId="27" fillId="5" borderId="21" xfId="0" applyNumberFormat="1" applyFont="1" applyFill="1" applyBorder="1" applyAlignment="1" applyProtection="1">
      <alignment horizontal="left"/>
      <protection hidden="1"/>
    </xf>
    <xf numFmtId="0" fontId="0" fillId="0" borderId="21" xfId="0" applyBorder="1"/>
    <xf numFmtId="0" fontId="2" fillId="0" borderId="6" xfId="0" applyFont="1" applyBorder="1"/>
    <xf numFmtId="0" fontId="27" fillId="5" borderId="23" xfId="4" applyFont="1" applyFill="1" applyBorder="1" applyAlignment="1" applyProtection="1">
      <alignment horizontal="left"/>
      <protection hidden="1"/>
    </xf>
    <xf numFmtId="0" fontId="27" fillId="5" borderId="2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0" fontId="2" fillId="4" borderId="36" xfId="0" applyFont="1" applyFill="1" applyBorder="1" applyAlignment="1">
      <alignment horizontal="right" vertical="center"/>
    </xf>
    <xf numFmtId="0" fontId="2" fillId="4" borderId="37" xfId="0" applyFont="1" applyFill="1" applyBorder="1" applyAlignment="1">
      <alignment horizontal="right" vertical="center"/>
    </xf>
    <xf numFmtId="0" fontId="8" fillId="4" borderId="37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49" fontId="6" fillId="0" borderId="41" xfId="0" applyNumberFormat="1" applyFont="1" applyBorder="1" applyAlignment="1">
      <alignment vertical="center" wrapText="1"/>
    </xf>
    <xf numFmtId="1" fontId="1" fillId="2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2" fillId="0" borderId="40" xfId="0" applyFont="1" applyBorder="1"/>
    <xf numFmtId="0" fontId="2" fillId="0" borderId="41" xfId="0" applyFont="1" applyBorder="1"/>
    <xf numFmtId="165" fontId="2" fillId="0" borderId="41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left" vertical="center"/>
    </xf>
    <xf numFmtId="166" fontId="26" fillId="0" borderId="4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18" fillId="0" borderId="50" xfId="9" applyFont="1" applyBorder="1" applyAlignment="1">
      <alignment horizontal="center" vertical="center" wrapText="1"/>
    </xf>
    <xf numFmtId="1" fontId="18" fillId="0" borderId="51" xfId="9" applyNumberFormat="1" applyFont="1" applyBorder="1" applyAlignment="1">
      <alignment horizontal="center" vertical="center" wrapText="1"/>
    </xf>
    <xf numFmtId="0" fontId="18" fillId="0" borderId="48" xfId="9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1" fontId="2" fillId="0" borderId="69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/>
    </xf>
    <xf numFmtId="1" fontId="2" fillId="0" borderId="75" xfId="0" applyNumberFormat="1" applyFont="1" applyBorder="1" applyAlignment="1">
      <alignment horizontal="center" vertical="center"/>
    </xf>
    <xf numFmtId="166" fontId="2" fillId="0" borderId="7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1" fontId="2" fillId="5" borderId="75" xfId="0" applyNumberFormat="1" applyFont="1" applyFill="1" applyBorder="1" applyAlignment="1">
      <alignment horizontal="center" vertical="center"/>
    </xf>
    <xf numFmtId="0" fontId="2" fillId="5" borderId="74" xfId="0" applyFont="1" applyFill="1" applyBorder="1" applyAlignment="1">
      <alignment horizontal="center" vertical="center"/>
    </xf>
    <xf numFmtId="166" fontId="26" fillId="0" borderId="77" xfId="0" applyNumberFormat="1" applyFont="1" applyBorder="1" applyAlignment="1">
      <alignment horizontal="center" vertical="center"/>
    </xf>
    <xf numFmtId="0" fontId="25" fillId="0" borderId="77" xfId="0" applyFont="1" applyBorder="1" applyAlignment="1">
      <alignment horizontal="left" vertical="center"/>
    </xf>
    <xf numFmtId="0" fontId="18" fillId="0" borderId="79" xfId="9" applyFont="1" applyBorder="1" applyAlignment="1">
      <alignment horizontal="center" vertical="center" wrapText="1"/>
    </xf>
    <xf numFmtId="1" fontId="18" fillId="0" borderId="46" xfId="9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4" fillId="0" borderId="65" xfId="0" applyFont="1" applyBorder="1" applyAlignment="1">
      <alignment vertical="center" wrapText="1"/>
    </xf>
    <xf numFmtId="0" fontId="18" fillId="0" borderId="75" xfId="9" applyFont="1" applyBorder="1" applyAlignment="1">
      <alignment horizontal="center" vertical="center" wrapText="1"/>
    </xf>
    <xf numFmtId="0" fontId="2" fillId="5" borderId="83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5" borderId="85" xfId="0" applyFont="1" applyFill="1" applyBorder="1" applyAlignment="1">
      <alignment horizontal="center" vertical="center"/>
    </xf>
    <xf numFmtId="1" fontId="1" fillId="5" borderId="85" xfId="0" applyNumberFormat="1" applyFont="1" applyFill="1" applyBorder="1" applyAlignment="1" applyProtection="1">
      <alignment vertical="center"/>
      <protection locked="0"/>
    </xf>
    <xf numFmtId="1" fontId="1" fillId="5" borderId="86" xfId="0" applyNumberFormat="1" applyFont="1" applyFill="1" applyBorder="1" applyAlignment="1" applyProtection="1">
      <alignment vertical="center"/>
      <protection locked="0"/>
    </xf>
    <xf numFmtId="1" fontId="1" fillId="2" borderId="55" xfId="0" applyNumberFormat="1" applyFont="1" applyFill="1" applyBorder="1" applyAlignment="1" applyProtection="1">
      <alignment vertical="center"/>
      <protection locked="0"/>
    </xf>
    <xf numFmtId="1" fontId="1" fillId="5" borderId="87" xfId="0" applyNumberFormat="1" applyFont="1" applyFill="1" applyBorder="1" applyAlignment="1" applyProtection="1">
      <alignment vertical="center"/>
      <protection locked="0"/>
    </xf>
    <xf numFmtId="0" fontId="2" fillId="0" borderId="8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5" borderId="64" xfId="0" applyFont="1" applyFill="1" applyBorder="1" applyAlignment="1">
      <alignment horizontal="center" vertical="center" wrapText="1"/>
    </xf>
    <xf numFmtId="49" fontId="4" fillId="0" borderId="65" xfId="0" applyNumberFormat="1" applyFont="1" applyBorder="1" applyAlignment="1">
      <alignment horizontal="center" vertical="center" wrapText="1"/>
    </xf>
    <xf numFmtId="1" fontId="4" fillId="0" borderId="69" xfId="0" applyNumberFormat="1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/>
    </xf>
    <xf numFmtId="1" fontId="1" fillId="2" borderId="92" xfId="0" applyNumberFormat="1" applyFont="1" applyFill="1" applyBorder="1" applyAlignment="1" applyProtection="1">
      <alignment vertical="center"/>
      <protection locked="0"/>
    </xf>
    <xf numFmtId="0" fontId="3" fillId="0" borderId="9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6" xfId="0" applyFont="1" applyBorder="1"/>
    <xf numFmtId="1" fontId="2" fillId="0" borderId="0" xfId="0" applyNumberFormat="1" applyFont="1" applyAlignment="1">
      <alignment horizontal="center" vertical="center"/>
    </xf>
    <xf numFmtId="0" fontId="21" fillId="3" borderId="0" xfId="10" applyFont="1" applyFill="1" applyAlignment="1">
      <alignment horizontal="left"/>
    </xf>
    <xf numFmtId="0" fontId="21" fillId="3" borderId="0" xfId="3" applyFont="1" applyFill="1" applyAlignment="1" applyProtection="1">
      <alignment horizontal="left" vertical="center"/>
      <protection hidden="1"/>
    </xf>
    <xf numFmtId="0" fontId="3" fillId="0" borderId="7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18" fillId="0" borderId="40" xfId="9" applyFont="1" applyBorder="1" applyAlignment="1">
      <alignment horizontal="center" vertical="center" wrapText="1"/>
    </xf>
    <xf numFmtId="0" fontId="18" fillId="0" borderId="104" xfId="9" applyFont="1" applyBorder="1" applyAlignment="1">
      <alignment horizontal="center" vertical="center" wrapText="1"/>
    </xf>
    <xf numFmtId="0" fontId="21" fillId="3" borderId="104" xfId="3" applyFont="1" applyFill="1" applyBorder="1" applyAlignment="1" applyProtection="1">
      <alignment horizontal="center" vertical="center"/>
      <protection hidden="1"/>
    </xf>
    <xf numFmtId="0" fontId="2" fillId="0" borderId="99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55" xfId="0" applyFont="1" applyBorder="1"/>
    <xf numFmtId="0" fontId="2" fillId="0" borderId="56" xfId="0" applyFont="1" applyBorder="1" applyAlignment="1">
      <alignment horizontal="center" vertical="center"/>
    </xf>
    <xf numFmtId="0" fontId="18" fillId="0" borderId="52" xfId="9" applyFont="1" applyBorder="1" applyAlignment="1">
      <alignment horizontal="center" vertical="center" wrapText="1"/>
    </xf>
    <xf numFmtId="1" fontId="1" fillId="2" borderId="35" xfId="0" applyNumberFormat="1" applyFont="1" applyFill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>
      <alignment horizontal="center" vertical="center"/>
    </xf>
    <xf numFmtId="1" fontId="1" fillId="5" borderId="35" xfId="0" applyNumberFormat="1" applyFont="1" applyFill="1" applyBorder="1" applyAlignment="1" applyProtection="1">
      <alignment horizontal="center" vertical="center"/>
      <protection locked="0"/>
    </xf>
    <xf numFmtId="0" fontId="1" fillId="5" borderId="35" xfId="0" applyFont="1" applyFill="1" applyBorder="1" applyAlignment="1" applyProtection="1">
      <alignment horizontal="center" vertical="center"/>
      <protection locked="0"/>
    </xf>
    <xf numFmtId="0" fontId="2" fillId="5" borderId="76" xfId="0" applyFont="1" applyFill="1" applyBorder="1" applyAlignment="1">
      <alignment horizontal="center" vertical="center"/>
    </xf>
    <xf numFmtId="0" fontId="2" fillId="5" borderId="111" xfId="0" applyFont="1" applyFill="1" applyBorder="1" applyAlignment="1">
      <alignment horizontal="center" vertical="center"/>
    </xf>
    <xf numFmtId="1" fontId="27" fillId="5" borderId="112" xfId="3" applyNumberFormat="1" applyFont="1" applyFill="1" applyBorder="1" applyAlignment="1" applyProtection="1">
      <alignment vertical="center"/>
      <protection hidden="1"/>
    </xf>
    <xf numFmtId="1" fontId="27" fillId="5" borderId="113" xfId="3" applyNumberFormat="1" applyFont="1" applyFill="1" applyBorder="1" applyAlignment="1" applyProtection="1">
      <alignment vertical="center"/>
      <protection hidden="1"/>
    </xf>
    <xf numFmtId="1" fontId="27" fillId="5" borderId="6" xfId="3" applyNumberFormat="1" applyFont="1" applyFill="1" applyBorder="1" applyAlignment="1" applyProtection="1">
      <alignment horizontal="center" vertical="center"/>
      <protection hidden="1"/>
    </xf>
    <xf numFmtId="0" fontId="3" fillId="0" borderId="2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" fontId="27" fillId="5" borderId="6" xfId="0" applyNumberFormat="1" applyFont="1" applyFill="1" applyBorder="1" applyAlignment="1" applyProtection="1">
      <alignment horizontal="center" vertical="center"/>
      <protection hidden="1"/>
    </xf>
    <xf numFmtId="1" fontId="27" fillId="5" borderId="6" xfId="4" applyNumberFormat="1" applyFont="1" applyFill="1" applyBorder="1" applyAlignment="1" applyProtection="1">
      <alignment horizontal="center" vertical="center"/>
      <protection hidden="1"/>
    </xf>
    <xf numFmtId="0" fontId="27" fillId="5" borderId="6" xfId="0" applyFont="1" applyFill="1" applyBorder="1" applyAlignment="1">
      <alignment horizontal="center" vertical="center"/>
    </xf>
    <xf numFmtId="1" fontId="27" fillId="5" borderId="6" xfId="5" applyNumberFormat="1" applyFont="1" applyFill="1" applyBorder="1" applyAlignment="1" applyProtection="1">
      <alignment horizontal="center" vertical="center"/>
      <protection hidden="1"/>
    </xf>
    <xf numFmtId="0" fontId="2" fillId="5" borderId="3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0" xfId="0" applyFont="1" applyFill="1" applyBorder="1" applyAlignment="1">
      <alignment horizontal="center" vertical="center"/>
    </xf>
    <xf numFmtId="0" fontId="2" fillId="5" borderId="113" xfId="0" applyFont="1" applyFill="1" applyBorder="1" applyAlignment="1">
      <alignment horizontal="center" vertical="center"/>
    </xf>
    <xf numFmtId="0" fontId="2" fillId="0" borderId="78" xfId="0" applyFont="1" applyBorder="1"/>
    <xf numFmtId="0" fontId="3" fillId="0" borderId="83" xfId="0" applyFont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1" fontId="27" fillId="5" borderId="6" xfId="0" applyNumberFormat="1" applyFont="1" applyFill="1" applyBorder="1" applyAlignment="1" applyProtection="1">
      <alignment vertical="center"/>
      <protection hidden="1"/>
    </xf>
    <xf numFmtId="1" fontId="27" fillId="5" borderId="55" xfId="0" applyNumberFormat="1" applyFont="1" applyFill="1" applyBorder="1" applyAlignment="1" applyProtection="1">
      <alignment vertical="center"/>
      <protection hidden="1"/>
    </xf>
    <xf numFmtId="0" fontId="2" fillId="0" borderId="35" xfId="0" applyFont="1" applyBorder="1" applyAlignment="1">
      <alignment horizontal="center" vertical="center"/>
    </xf>
    <xf numFmtId="0" fontId="2" fillId="0" borderId="115" xfId="0" applyFont="1" applyBorder="1"/>
    <xf numFmtId="0" fontId="3" fillId="0" borderId="1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2" fillId="0" borderId="117" xfId="0" applyFont="1" applyBorder="1"/>
    <xf numFmtId="0" fontId="2" fillId="0" borderId="118" xfId="0" applyFont="1" applyBorder="1"/>
    <xf numFmtId="0" fontId="2" fillId="0" borderId="54" xfId="0" applyFont="1" applyBorder="1"/>
    <xf numFmtId="0" fontId="2" fillId="0" borderId="82" xfId="0" applyFont="1" applyBorder="1"/>
    <xf numFmtId="1" fontId="2" fillId="0" borderId="0" xfId="0" applyNumberFormat="1" applyFont="1" applyAlignment="1">
      <alignment horizontal="center"/>
    </xf>
    <xf numFmtId="49" fontId="18" fillId="0" borderId="0" xfId="9" applyNumberFormat="1" applyFont="1" applyAlignment="1">
      <alignment vertical="center" wrapText="1"/>
    </xf>
    <xf numFmtId="0" fontId="18" fillId="0" borderId="58" xfId="9" applyFont="1" applyBorder="1" applyAlignment="1">
      <alignment horizontal="center" vertical="center" wrapText="1"/>
    </xf>
    <xf numFmtId="1" fontId="18" fillId="0" borderId="58" xfId="9" applyNumberFormat="1" applyFont="1" applyBorder="1" applyAlignment="1">
      <alignment horizontal="center" vertical="center" wrapText="1"/>
    </xf>
    <xf numFmtId="0" fontId="18" fillId="0" borderId="61" xfId="9" applyFont="1" applyBorder="1" applyAlignment="1">
      <alignment horizontal="center" vertical="center" wrapText="1"/>
    </xf>
    <xf numFmtId="3" fontId="18" fillId="0" borderId="22" xfId="9" applyNumberFormat="1" applyFont="1" applyBorder="1" applyAlignment="1">
      <alignment horizontal="center" vertical="center" wrapText="1"/>
    </xf>
    <xf numFmtId="49" fontId="18" fillId="0" borderId="22" xfId="9" applyNumberFormat="1" applyFont="1" applyBorder="1" applyAlignment="1">
      <alignment horizontal="center" vertical="center" wrapText="1"/>
    </xf>
    <xf numFmtId="1" fontId="18" fillId="0" borderId="53" xfId="9" applyNumberFormat="1" applyFont="1" applyBorder="1" applyAlignment="1">
      <alignment horizontal="center" vertical="center" wrapText="1"/>
    </xf>
    <xf numFmtId="3" fontId="18" fillId="0" borderId="51" xfId="9" applyNumberFormat="1" applyFont="1" applyBorder="1" applyAlignment="1">
      <alignment horizontal="center" vertical="center" wrapText="1"/>
    </xf>
    <xf numFmtId="49" fontId="18" fillId="0" borderId="51" xfId="9" applyNumberFormat="1" applyFont="1" applyBorder="1" applyAlignment="1">
      <alignment horizontal="center" vertical="center" wrapText="1"/>
    </xf>
    <xf numFmtId="1" fontId="18" fillId="0" borderId="32" xfId="9" applyNumberFormat="1" applyFont="1" applyBorder="1" applyAlignment="1">
      <alignment horizontal="center" vertical="center" wrapText="1"/>
    </xf>
    <xf numFmtId="0" fontId="18" fillId="0" borderId="81" xfId="9" applyFont="1" applyBorder="1" applyAlignment="1">
      <alignment horizontal="center" vertical="center" wrapText="1"/>
    </xf>
    <xf numFmtId="3" fontId="18" fillId="0" borderId="6" xfId="9" applyNumberFormat="1" applyFont="1" applyBorder="1" applyAlignment="1">
      <alignment horizontal="center" vertical="center" wrapText="1"/>
    </xf>
    <xf numFmtId="49" fontId="18" fillId="0" borderId="6" xfId="9" applyNumberFormat="1" applyFont="1" applyBorder="1" applyAlignment="1">
      <alignment horizontal="center" vertical="center" wrapText="1"/>
    </xf>
    <xf numFmtId="3" fontId="18" fillId="0" borderId="46" xfId="9" applyNumberFormat="1" applyFont="1" applyBorder="1" applyAlignment="1">
      <alignment horizontal="center" vertical="center" wrapText="1"/>
    </xf>
    <xf numFmtId="49" fontId="18" fillId="0" borderId="46" xfId="9" applyNumberFormat="1" applyFont="1" applyBorder="1" applyAlignment="1">
      <alignment horizontal="center" vertical="center" wrapText="1"/>
    </xf>
    <xf numFmtId="49" fontId="18" fillId="0" borderId="80" xfId="9" applyNumberFormat="1" applyFont="1" applyBorder="1" applyAlignment="1">
      <alignment horizontal="center" vertical="center" wrapText="1"/>
    </xf>
    <xf numFmtId="0" fontId="18" fillId="0" borderId="74" xfId="9" applyFont="1" applyBorder="1" applyAlignment="1">
      <alignment horizontal="center" vertical="center" wrapText="1"/>
    </xf>
    <xf numFmtId="49" fontId="18" fillId="0" borderId="76" xfId="9" applyNumberFormat="1" applyFont="1" applyBorder="1" applyAlignment="1">
      <alignment horizontal="center" vertical="center" wrapText="1"/>
    </xf>
    <xf numFmtId="0" fontId="18" fillId="0" borderId="33" xfId="9" applyFont="1" applyBorder="1" applyAlignment="1">
      <alignment horizontal="center" vertical="center" wrapText="1"/>
    </xf>
    <xf numFmtId="3" fontId="18" fillId="0" borderId="9" xfId="9" applyNumberFormat="1" applyFont="1" applyBorder="1" applyAlignment="1">
      <alignment horizontal="center" vertical="center" wrapText="1"/>
    </xf>
    <xf numFmtId="0" fontId="18" fillId="0" borderId="46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49" fontId="18" fillId="0" borderId="75" xfId="9" applyNumberFormat="1" applyFont="1" applyBorder="1" applyAlignment="1">
      <alignment horizontal="center" vertical="center" wrapText="1"/>
    </xf>
    <xf numFmtId="1" fontId="18" fillId="0" borderId="16" xfId="9" applyNumberFormat="1" applyFont="1" applyBorder="1" applyAlignment="1">
      <alignment horizontal="center" vertical="center" wrapText="1"/>
    </xf>
    <xf numFmtId="1" fontId="18" fillId="0" borderId="20" xfId="9" applyNumberFormat="1" applyFont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/>
    </xf>
    <xf numFmtId="1" fontId="27" fillId="5" borderId="55" xfId="0" applyNumberFormat="1" applyFont="1" applyFill="1" applyBorder="1" applyAlignment="1" applyProtection="1">
      <alignment horizontal="center" vertical="center"/>
      <protection hidden="1"/>
    </xf>
    <xf numFmtId="1" fontId="27" fillId="5" borderId="6" xfId="0" applyNumberFormat="1" applyFont="1" applyFill="1" applyBorder="1" applyAlignment="1" applyProtection="1">
      <alignment horizontal="center" vertical="center"/>
      <protection hidden="1"/>
    </xf>
    <xf numFmtId="0" fontId="18" fillId="0" borderId="55" xfId="9" applyFont="1" applyBorder="1" applyAlignment="1">
      <alignment horizontal="center" vertical="center" wrapText="1"/>
    </xf>
    <xf numFmtId="0" fontId="18" fillId="0" borderId="6" xfId="9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" fontId="27" fillId="5" borderId="55" xfId="5" applyNumberFormat="1" applyFont="1" applyFill="1" applyBorder="1" applyAlignment="1" applyProtection="1">
      <alignment horizontal="center" vertical="center"/>
      <protection hidden="1"/>
    </xf>
    <xf numFmtId="1" fontId="27" fillId="5" borderId="6" xfId="5" applyNumberFormat="1" applyFont="1" applyFill="1" applyBorder="1" applyAlignment="1" applyProtection="1">
      <alignment horizontal="center" vertical="center"/>
      <protection hidden="1"/>
    </xf>
    <xf numFmtId="0" fontId="2" fillId="0" borderId="5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7" fillId="5" borderId="55" xfId="4" applyNumberFormat="1" applyFont="1" applyFill="1" applyBorder="1" applyAlignment="1" applyProtection="1">
      <alignment horizontal="center" vertical="center"/>
      <protection hidden="1"/>
    </xf>
    <xf numFmtId="1" fontId="27" fillId="5" borderId="6" xfId="4" applyNumberFormat="1" applyFont="1" applyFill="1" applyBorder="1" applyAlignment="1" applyProtection="1">
      <alignment horizontal="center" vertical="center"/>
      <protection hidden="1"/>
    </xf>
    <xf numFmtId="1" fontId="27" fillId="5" borderId="6" xfId="3" applyNumberFormat="1" applyFont="1" applyFill="1" applyBorder="1" applyAlignment="1" applyProtection="1">
      <alignment horizontal="center" vertical="center"/>
      <protection hidden="1"/>
    </xf>
    <xf numFmtId="1" fontId="27" fillId="5" borderId="19" xfId="3" applyNumberFormat="1" applyFont="1" applyFill="1" applyBorder="1" applyAlignment="1" applyProtection="1">
      <alignment horizontal="center" vertical="center"/>
      <protection hidden="1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8" fillId="0" borderId="120" xfId="9" applyFont="1" applyBorder="1" applyAlignment="1">
      <alignment horizontal="center" vertical="center" wrapText="1"/>
    </xf>
    <xf numFmtId="0" fontId="18" fillId="0" borderId="17" xfId="9" applyFont="1" applyBorder="1" applyAlignment="1">
      <alignment horizontal="center" vertical="center" wrapText="1"/>
    </xf>
    <xf numFmtId="0" fontId="18" fillId="0" borderId="9" xfId="9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" fontId="27" fillId="5" borderId="78" xfId="3" applyNumberFormat="1" applyFont="1" applyFill="1" applyBorder="1" applyAlignment="1" applyProtection="1">
      <alignment horizontal="center" vertical="center"/>
      <protection hidden="1"/>
    </xf>
    <xf numFmtId="1" fontId="27" fillId="5" borderId="55" xfId="3" applyNumberFormat="1" applyFont="1" applyFill="1" applyBorder="1" applyAlignment="1" applyProtection="1">
      <alignment horizontal="center" vertical="center"/>
      <protection hidden="1"/>
    </xf>
    <xf numFmtId="0" fontId="27" fillId="5" borderId="5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2" fillId="7" borderId="106" xfId="0" applyFont="1" applyFill="1" applyBorder="1" applyAlignment="1">
      <alignment horizontal="center" vertical="center"/>
    </xf>
    <xf numFmtId="0" fontId="2" fillId="7" borderId="10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8" fillId="0" borderId="73" xfId="9" applyFont="1" applyBorder="1" applyAlignment="1">
      <alignment horizontal="center" vertical="center" wrapText="1"/>
    </xf>
    <xf numFmtId="0" fontId="18" fillId="0" borderId="32" xfId="9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1" fontId="18" fillId="0" borderId="56" xfId="9" applyNumberFormat="1" applyFont="1" applyBorder="1" applyAlignment="1">
      <alignment horizontal="center" vertical="center" wrapText="1"/>
    </xf>
    <xf numFmtId="1" fontId="18" fillId="0" borderId="46" xfId="9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3" fillId="0" borderId="82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  <protection locked="0" hidden="1"/>
    </xf>
    <xf numFmtId="0" fontId="7" fillId="2" borderId="15" xfId="0" applyFont="1" applyFill="1" applyBorder="1" applyAlignment="1" applyProtection="1">
      <alignment horizontal="center" vertical="center" wrapText="1"/>
      <protection locked="0" hidden="1"/>
    </xf>
    <xf numFmtId="0" fontId="2" fillId="7" borderId="54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1" fontId="27" fillId="5" borderId="32" xfId="3" applyNumberFormat="1" applyFont="1" applyFill="1" applyBorder="1" applyAlignment="1" applyProtection="1">
      <alignment horizontal="center" vertical="center"/>
      <protection hidden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10" fillId="2" borderId="106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2" borderId="106" xfId="0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18" fillId="0" borderId="121" xfId="9" applyFont="1" applyBorder="1" applyAlignment="1">
      <alignment horizontal="center" vertical="center" wrapText="1"/>
    </xf>
    <xf numFmtId="0" fontId="18" fillId="0" borderId="31" xfId="9" applyFont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10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27" fillId="5" borderId="16" xfId="3" applyNumberFormat="1" applyFont="1" applyFill="1" applyBorder="1" applyAlignment="1" applyProtection="1">
      <alignment horizontal="center" vertical="center"/>
      <protection hidden="1"/>
    </xf>
    <xf numFmtId="1" fontId="27" fillId="5" borderId="9" xfId="3" applyNumberFormat="1" applyFont="1" applyFill="1" applyBorder="1" applyAlignment="1" applyProtection="1">
      <alignment horizontal="center" vertical="center"/>
      <protection hidden="1"/>
    </xf>
    <xf numFmtId="0" fontId="3" fillId="0" borderId="5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27" fillId="5" borderId="30" xfId="3" applyNumberFormat="1" applyFont="1" applyFill="1" applyBorder="1" applyAlignment="1" applyProtection="1">
      <alignment horizontal="center" vertical="center"/>
      <protection hidden="1"/>
    </xf>
    <xf numFmtId="1" fontId="27" fillId="5" borderId="31" xfId="3" applyNumberFormat="1" applyFont="1" applyFill="1" applyBorder="1" applyAlignment="1" applyProtection="1">
      <alignment horizontal="center" vertical="center"/>
      <protection hidden="1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1" fontId="18" fillId="0" borderId="55" xfId="9" applyNumberFormat="1" applyFont="1" applyBorder="1" applyAlignment="1">
      <alignment horizontal="center" vertical="center" wrapText="1"/>
    </xf>
    <xf numFmtId="1" fontId="18" fillId="0" borderId="6" xfId="9" applyNumberFormat="1" applyFont="1" applyBorder="1" applyAlignment="1">
      <alignment horizontal="center" vertical="center" wrapText="1"/>
    </xf>
    <xf numFmtId="0" fontId="2" fillId="7" borderId="98" xfId="0" applyFont="1" applyFill="1" applyBorder="1" applyAlignment="1">
      <alignment horizontal="center" vertical="center"/>
    </xf>
    <xf numFmtId="0" fontId="2" fillId="7" borderId="109" xfId="0" applyFont="1" applyFill="1" applyBorder="1" applyAlignment="1">
      <alignment horizontal="center" vertical="center"/>
    </xf>
    <xf numFmtId="0" fontId="2" fillId="7" borderId="11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1" fontId="27" fillId="5" borderId="112" xfId="3" applyNumberFormat="1" applyFont="1" applyFill="1" applyBorder="1" applyAlignment="1" applyProtection="1">
      <alignment horizontal="center" vertical="center"/>
      <protection hidden="1"/>
    </xf>
    <xf numFmtId="1" fontId="27" fillId="5" borderId="113" xfId="3" applyNumberFormat="1" applyFont="1" applyFill="1" applyBorder="1" applyAlignment="1" applyProtection="1">
      <alignment horizontal="center" vertical="center"/>
      <protection hidden="1"/>
    </xf>
  </cellXfs>
  <cellStyles count="11">
    <cellStyle name="Excel Built-in Normal" xfId="4" xr:uid="{00000000-0005-0000-0000-000000000000}"/>
    <cellStyle name="Millares 2" xfId="1" xr:uid="{00000000-0005-0000-0000-000001000000}"/>
    <cellStyle name="Moneda 2" xfId="2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4" xfId="9" xr:uid="{00000000-0005-0000-0000-000008000000}"/>
    <cellStyle name="Normal_Hoja1" xfId="10" xr:uid="{00000000-0005-0000-0000-000009000000}"/>
    <cellStyle name="Título 1" xfId="8" xr:uid="{00000000-0005-0000-0000-00000A000000}"/>
  </cellStyles>
  <dxfs count="183"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7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5.png"/><Relationship Id="rId18" Type="http://schemas.openxmlformats.org/officeDocument/2006/relationships/image" Target="../media/image40.png"/><Relationship Id="rId26" Type="http://schemas.openxmlformats.org/officeDocument/2006/relationships/image" Target="../media/image48.emf"/><Relationship Id="rId39" Type="http://schemas.openxmlformats.org/officeDocument/2006/relationships/image" Target="../media/image61.emf"/><Relationship Id="rId21" Type="http://schemas.openxmlformats.org/officeDocument/2006/relationships/image" Target="../media/image43.emf"/><Relationship Id="rId34" Type="http://schemas.openxmlformats.org/officeDocument/2006/relationships/image" Target="../media/image56.emf"/><Relationship Id="rId7" Type="http://schemas.openxmlformats.org/officeDocument/2006/relationships/image" Target="../media/image29.png"/><Relationship Id="rId12" Type="http://schemas.openxmlformats.org/officeDocument/2006/relationships/image" Target="../media/image34.png"/><Relationship Id="rId17" Type="http://schemas.openxmlformats.org/officeDocument/2006/relationships/image" Target="../media/image39.png"/><Relationship Id="rId25" Type="http://schemas.openxmlformats.org/officeDocument/2006/relationships/image" Target="../media/image47.emf"/><Relationship Id="rId33" Type="http://schemas.openxmlformats.org/officeDocument/2006/relationships/image" Target="../media/image55.emf"/><Relationship Id="rId38" Type="http://schemas.openxmlformats.org/officeDocument/2006/relationships/image" Target="../media/image60.emf"/><Relationship Id="rId2" Type="http://schemas.openxmlformats.org/officeDocument/2006/relationships/image" Target="../media/image24.png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29" Type="http://schemas.openxmlformats.org/officeDocument/2006/relationships/image" Target="../media/image51.emf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png"/><Relationship Id="rId24" Type="http://schemas.openxmlformats.org/officeDocument/2006/relationships/image" Target="../media/image46.emf"/><Relationship Id="rId32" Type="http://schemas.openxmlformats.org/officeDocument/2006/relationships/image" Target="../media/image54.emf"/><Relationship Id="rId37" Type="http://schemas.openxmlformats.org/officeDocument/2006/relationships/image" Target="../media/image59.emf"/><Relationship Id="rId40" Type="http://schemas.openxmlformats.org/officeDocument/2006/relationships/image" Target="../media/image62.emf"/><Relationship Id="rId5" Type="http://schemas.openxmlformats.org/officeDocument/2006/relationships/image" Target="../media/image27.png"/><Relationship Id="rId15" Type="http://schemas.openxmlformats.org/officeDocument/2006/relationships/image" Target="../media/image37.png"/><Relationship Id="rId23" Type="http://schemas.openxmlformats.org/officeDocument/2006/relationships/image" Target="../media/image45.emf"/><Relationship Id="rId28" Type="http://schemas.openxmlformats.org/officeDocument/2006/relationships/image" Target="../media/image50.emf"/><Relationship Id="rId36" Type="http://schemas.openxmlformats.org/officeDocument/2006/relationships/image" Target="../media/image58.emf"/><Relationship Id="rId10" Type="http://schemas.openxmlformats.org/officeDocument/2006/relationships/image" Target="../media/image32.png"/><Relationship Id="rId19" Type="http://schemas.openxmlformats.org/officeDocument/2006/relationships/image" Target="../media/image41.png"/><Relationship Id="rId31" Type="http://schemas.openxmlformats.org/officeDocument/2006/relationships/image" Target="../media/image53.emf"/><Relationship Id="rId4" Type="http://schemas.openxmlformats.org/officeDocument/2006/relationships/image" Target="../media/image26.png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44.emf"/><Relationship Id="rId27" Type="http://schemas.openxmlformats.org/officeDocument/2006/relationships/image" Target="../media/image49.emf"/><Relationship Id="rId30" Type="http://schemas.openxmlformats.org/officeDocument/2006/relationships/image" Target="../media/image52.emf"/><Relationship Id="rId35" Type="http://schemas.openxmlformats.org/officeDocument/2006/relationships/image" Target="../media/image57.emf"/><Relationship Id="rId8" Type="http://schemas.openxmlformats.org/officeDocument/2006/relationships/image" Target="../media/image30.png"/><Relationship Id="rId3" Type="http://schemas.openxmlformats.org/officeDocument/2006/relationships/image" Target="../media/image2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png"/><Relationship Id="rId1" Type="http://schemas.openxmlformats.org/officeDocument/2006/relationships/image" Target="../media/image6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83820</xdr:rowOff>
        </xdr:from>
        <xdr:to>
          <xdr:col>2</xdr:col>
          <xdr:colOff>2857500</xdr:colOff>
          <xdr:row>9</xdr:row>
          <xdr:rowOff>205740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61160" y="1127760"/>
              <a:ext cx="2667000" cy="1828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7</xdr:col>
      <xdr:colOff>128429</xdr:colOff>
      <xdr:row>1</xdr:row>
      <xdr:rowOff>22859</xdr:rowOff>
    </xdr:from>
    <xdr:to>
      <xdr:col>9</xdr:col>
      <xdr:colOff>876300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1109" y="289559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208280</xdr:rowOff>
        </xdr:to>
        <xdr:pic>
          <xdr:nvPicPr>
            <xdr:cNvPr id="17813" name="Imagen 1">
              <a:extLst>
                <a:ext uri="{FF2B5EF4-FFF2-40B4-BE49-F238E27FC236}">
                  <a16:creationId xmlns:a16="http://schemas.microsoft.com/office/drawing/2014/main" id="{3F84CFE4-4EBD-26D1-AC60-EB03B55453C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89100" y="1123950"/>
              <a:ext cx="2667000" cy="1816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208280</xdr:rowOff>
        </xdr:to>
        <xdr:pic>
          <xdr:nvPicPr>
            <xdr:cNvPr id="17815" name="Imagen 1">
              <a:extLst>
                <a:ext uri="{FF2B5EF4-FFF2-40B4-BE49-F238E27FC236}">
                  <a16:creationId xmlns:a16="http://schemas.microsoft.com/office/drawing/2014/main" id="{A9C7FE75-B9E3-045E-D76C-6A6E77F4A4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89100" y="1123950"/>
              <a:ext cx="2667000" cy="1816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208280</xdr:rowOff>
        </xdr:to>
        <xdr:pic>
          <xdr:nvPicPr>
            <xdr:cNvPr id="17816" name="Picture 408">
              <a:extLst>
                <a:ext uri="{FF2B5EF4-FFF2-40B4-BE49-F238E27FC236}">
                  <a16:creationId xmlns:a16="http://schemas.microsoft.com/office/drawing/2014/main" id="{94309247-F02A-F237-4F47-D2DE5C83AA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89100" y="1123950"/>
              <a:ext cx="2667000" cy="1816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203200</xdr:rowOff>
        </xdr:to>
        <xdr:pic>
          <xdr:nvPicPr>
            <xdr:cNvPr id="44441" name="Imagen 1">
              <a:extLst>
                <a:ext uri="{FF2B5EF4-FFF2-40B4-BE49-F238E27FC236}">
                  <a16:creationId xmlns:a16="http://schemas.microsoft.com/office/drawing/2014/main" id="{79FCC5DB-EEA4-4BAE-6A06-E8975725F3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01800" y="1123950"/>
              <a:ext cx="2667000" cy="1816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442" name="Picture 1434">
              <a:extLst>
                <a:ext uri="{FF2B5EF4-FFF2-40B4-BE49-F238E27FC236}">
                  <a16:creationId xmlns:a16="http://schemas.microsoft.com/office/drawing/2014/main" id="{55FF8A9E-B3AB-0D1F-8028-70439C5A1C2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01800" y="1123950"/>
              <a:ext cx="2667000" cy="1822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443" name="Picture 1435">
              <a:extLst>
                <a:ext uri="{FF2B5EF4-FFF2-40B4-BE49-F238E27FC236}">
                  <a16:creationId xmlns:a16="http://schemas.microsoft.com/office/drawing/2014/main" id="{50FCE83A-7F16-FBE3-7428-6E270E369B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01800" y="1123950"/>
              <a:ext cx="2667000" cy="1822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82550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444" name="Picture 408">
              <a:extLst>
                <a:ext uri="{FF2B5EF4-FFF2-40B4-BE49-F238E27FC236}">
                  <a16:creationId xmlns:a16="http://schemas.microsoft.com/office/drawing/2014/main" id="{520C5C26-16F7-E4C1-81D0-4368BC0E76C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01800" y="1123950"/>
              <a:ext cx="2667000" cy="1822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05" name="Imagen 1">
              <a:extLst>
                <a:ext uri="{FF2B5EF4-FFF2-40B4-BE49-F238E27FC236}">
                  <a16:creationId xmlns:a16="http://schemas.microsoft.com/office/drawing/2014/main" id="{7A39717C-613D-097D-F910-7AB3242CCD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06" name="Picture 1498">
              <a:extLst>
                <a:ext uri="{FF2B5EF4-FFF2-40B4-BE49-F238E27FC236}">
                  <a16:creationId xmlns:a16="http://schemas.microsoft.com/office/drawing/2014/main" id="{7354F1E2-D4DC-8813-D13D-0BC9756865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07" name="Picture 1499">
              <a:extLst>
                <a:ext uri="{FF2B5EF4-FFF2-40B4-BE49-F238E27FC236}">
                  <a16:creationId xmlns:a16="http://schemas.microsoft.com/office/drawing/2014/main" id="{6545516F-0487-2011-07B0-94555989221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08" name="Picture 408">
              <a:extLst>
                <a:ext uri="{FF2B5EF4-FFF2-40B4-BE49-F238E27FC236}">
                  <a16:creationId xmlns:a16="http://schemas.microsoft.com/office/drawing/2014/main" id="{ECE0DC63-C4C4-DAF5-8936-8FFE7A029A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200025</xdr:rowOff>
        </xdr:to>
        <xdr:pic>
          <xdr:nvPicPr>
            <xdr:cNvPr id="44509" name="Picture 1501">
              <a:extLst>
                <a:ext uri="{FF2B5EF4-FFF2-40B4-BE49-F238E27FC236}">
                  <a16:creationId xmlns:a16="http://schemas.microsoft.com/office/drawing/2014/main" id="{BD83596A-E2DE-B53D-74E5-7CBF16738A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02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0" name="Picture 1434">
              <a:extLst>
                <a:ext uri="{FF2B5EF4-FFF2-40B4-BE49-F238E27FC236}">
                  <a16:creationId xmlns:a16="http://schemas.microsoft.com/office/drawing/2014/main" id="{B1EA3871-C426-F816-2A55-FB1208D418D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1" name="Picture 1435">
              <a:extLst>
                <a:ext uri="{FF2B5EF4-FFF2-40B4-BE49-F238E27FC236}">
                  <a16:creationId xmlns:a16="http://schemas.microsoft.com/office/drawing/2014/main" id="{C9D30B91-FB9B-C31F-D7F2-F9D343C21C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2" name="Picture 1504">
              <a:extLst>
                <a:ext uri="{FF2B5EF4-FFF2-40B4-BE49-F238E27FC236}">
                  <a16:creationId xmlns:a16="http://schemas.microsoft.com/office/drawing/2014/main" id="{45B5DEEC-64EA-5AC5-DEB8-235C836C35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3" name="Picture 1505">
              <a:extLst>
                <a:ext uri="{FF2B5EF4-FFF2-40B4-BE49-F238E27FC236}">
                  <a16:creationId xmlns:a16="http://schemas.microsoft.com/office/drawing/2014/main" id="{42D14A82-203A-A623-224A-49FFFA5418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4" name="Picture 1506">
              <a:extLst>
                <a:ext uri="{FF2B5EF4-FFF2-40B4-BE49-F238E27FC236}">
                  <a16:creationId xmlns:a16="http://schemas.microsoft.com/office/drawing/2014/main" id="{A055A731-6FA2-BAF3-8169-F05BD56200C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5" name="Picture 1507">
              <a:extLst>
                <a:ext uri="{FF2B5EF4-FFF2-40B4-BE49-F238E27FC236}">
                  <a16:creationId xmlns:a16="http://schemas.microsoft.com/office/drawing/2014/main" id="{BFE4AE48-3A0A-7D53-1412-E1B38D7D19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6" name="Picture 1508">
              <a:extLst>
                <a:ext uri="{FF2B5EF4-FFF2-40B4-BE49-F238E27FC236}">
                  <a16:creationId xmlns:a16="http://schemas.microsoft.com/office/drawing/2014/main" id="{4248BD88-E7C7-A822-625D-21BAFFEAF6F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200025</xdr:rowOff>
        </xdr:to>
        <xdr:pic>
          <xdr:nvPicPr>
            <xdr:cNvPr id="44517" name="Picture 1509">
              <a:extLst>
                <a:ext uri="{FF2B5EF4-FFF2-40B4-BE49-F238E27FC236}">
                  <a16:creationId xmlns:a16="http://schemas.microsoft.com/office/drawing/2014/main" id="{677DC524-0BA0-9B0F-1176-92C5510257F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02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8" name="Picture 1510">
              <a:extLst>
                <a:ext uri="{FF2B5EF4-FFF2-40B4-BE49-F238E27FC236}">
                  <a16:creationId xmlns:a16="http://schemas.microsoft.com/office/drawing/2014/main" id="{07D56D5B-D27A-CC75-7895-A2E6599A3AC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19" name="Picture 1511">
              <a:extLst>
                <a:ext uri="{FF2B5EF4-FFF2-40B4-BE49-F238E27FC236}">
                  <a16:creationId xmlns:a16="http://schemas.microsoft.com/office/drawing/2014/main" id="{A547AADC-C5E4-5F1C-3E67-D5533967E24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0" name="Picture 1512">
              <a:extLst>
                <a:ext uri="{FF2B5EF4-FFF2-40B4-BE49-F238E27FC236}">
                  <a16:creationId xmlns:a16="http://schemas.microsoft.com/office/drawing/2014/main" id="{4B27A1D0-545A-2DFF-2C76-CB4B89D584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1" name="Picture 1513">
              <a:extLst>
                <a:ext uri="{FF2B5EF4-FFF2-40B4-BE49-F238E27FC236}">
                  <a16:creationId xmlns:a16="http://schemas.microsoft.com/office/drawing/2014/main" id="{0DC24EAE-54BE-62C6-DB17-BAF772A2363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2" name="Picture 1514">
              <a:extLst>
                <a:ext uri="{FF2B5EF4-FFF2-40B4-BE49-F238E27FC236}">
                  <a16:creationId xmlns:a16="http://schemas.microsoft.com/office/drawing/2014/main" id="{0182BDCE-836F-5F5D-2785-A39B6F063F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3" name="Picture 1515">
              <a:extLst>
                <a:ext uri="{FF2B5EF4-FFF2-40B4-BE49-F238E27FC236}">
                  <a16:creationId xmlns:a16="http://schemas.microsoft.com/office/drawing/2014/main" id="{9CC43E24-FE63-67C4-4532-DCF3126C9E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4" name="Picture 1516">
              <a:extLst>
                <a:ext uri="{FF2B5EF4-FFF2-40B4-BE49-F238E27FC236}">
                  <a16:creationId xmlns:a16="http://schemas.microsoft.com/office/drawing/2014/main" id="{DB073285-F897-8896-68BE-215446B06D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200025</xdr:rowOff>
        </xdr:to>
        <xdr:pic>
          <xdr:nvPicPr>
            <xdr:cNvPr id="44525" name="Picture 1517">
              <a:extLst>
                <a:ext uri="{FF2B5EF4-FFF2-40B4-BE49-F238E27FC236}">
                  <a16:creationId xmlns:a16="http://schemas.microsoft.com/office/drawing/2014/main" id="{47BFEE8E-2DA1-DA9E-1646-35B05A79F8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02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6" name="Picture 1518">
              <a:extLst>
                <a:ext uri="{FF2B5EF4-FFF2-40B4-BE49-F238E27FC236}">
                  <a16:creationId xmlns:a16="http://schemas.microsoft.com/office/drawing/2014/main" id="{7B70D767-53D1-A7DE-31B2-1AC28456B0D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7" name="Picture 1519">
              <a:extLst>
                <a:ext uri="{FF2B5EF4-FFF2-40B4-BE49-F238E27FC236}">
                  <a16:creationId xmlns:a16="http://schemas.microsoft.com/office/drawing/2014/main" id="{686FD7D6-3430-5693-500C-0BF9ADBEA9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85725</xdr:rowOff>
        </xdr:from>
        <xdr:to>
          <xdr:col>2</xdr:col>
          <xdr:colOff>2857500</xdr:colOff>
          <xdr:row>9</xdr:row>
          <xdr:rowOff>209550</xdr:rowOff>
        </xdr:to>
        <xdr:pic>
          <xdr:nvPicPr>
            <xdr:cNvPr id="44528" name="Picture 1520">
              <a:extLst>
                <a:ext uri="{FF2B5EF4-FFF2-40B4-BE49-F238E27FC236}">
                  <a16:creationId xmlns:a16="http://schemas.microsoft.com/office/drawing/2014/main" id="{3F04DF58-AF91-E4C8-72B1-F7592CE6B7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s" spid="_x0000_s446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8775" y="1133475"/>
              <a:ext cx="2667000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3</xdr:row>
          <xdr:rowOff>15240</xdr:rowOff>
        </xdr:from>
        <xdr:to>
          <xdr:col>3</xdr:col>
          <xdr:colOff>0</xdr:colOff>
          <xdr:row>10</xdr:row>
          <xdr:rowOff>228600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9" spid="_x0000_s30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44980" y="1059180"/>
              <a:ext cx="27736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30480</xdr:colOff>
      <xdr:row>1</xdr:row>
      <xdr:rowOff>0</xdr:rowOff>
    </xdr:from>
    <xdr:to>
      <xdr:col>10</xdr:col>
      <xdr:colOff>0</xdr:colOff>
      <xdr:row>3</xdr:row>
      <xdr:rowOff>173356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07EC3C-47CF-419E-A8CB-0ADAA832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26670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1</xdr:row>
      <xdr:rowOff>15240</xdr:rowOff>
    </xdr:from>
    <xdr:to>
      <xdr:col>10</xdr:col>
      <xdr:colOff>20161</xdr:colOff>
      <xdr:row>4</xdr:row>
      <xdr:rowOff>243841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30C664-4975-4803-A5A1-53781A5A0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28194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4</xdr:row>
          <xdr:rowOff>53340</xdr:rowOff>
        </xdr:from>
        <xdr:to>
          <xdr:col>5</xdr:col>
          <xdr:colOff>57150</xdr:colOff>
          <xdr:row>11</xdr:row>
          <xdr:rowOff>114300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8D1C871D-09A8-49BF-9447-E15D6C6ACCC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13" spid="_x0000_s381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96340" y="1051560"/>
              <a:ext cx="28117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1</xdr:row>
      <xdr:rowOff>15240</xdr:rowOff>
    </xdr:from>
    <xdr:to>
      <xdr:col>10</xdr:col>
      <xdr:colOff>16351</xdr:colOff>
      <xdr:row>4</xdr:row>
      <xdr:rowOff>247651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00165B-5FEA-4F50-95FE-761046D0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28194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</xdr:row>
          <xdr:rowOff>38100</xdr:rowOff>
        </xdr:from>
        <xdr:to>
          <xdr:col>5</xdr:col>
          <xdr:colOff>57150</xdr:colOff>
          <xdr:row>11</xdr:row>
          <xdr:rowOff>95250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E5BE79F8-47B0-4079-B51A-5FC816D3BE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12" spid="_x0000_s371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11580" y="1036320"/>
              <a:ext cx="28117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74136</xdr:colOff>
      <xdr:row>4</xdr:row>
      <xdr:rowOff>75844</xdr:rowOff>
    </xdr:from>
    <xdr:to>
      <xdr:col>18</xdr:col>
      <xdr:colOff>1905</xdr:colOff>
      <xdr:row>4</xdr:row>
      <xdr:rowOff>1813560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0916" y="4297324"/>
          <a:ext cx="2547144" cy="1737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68580</xdr:colOff>
      <xdr:row>2</xdr:row>
      <xdr:rowOff>56565</xdr:rowOff>
    </xdr:from>
    <xdr:to>
      <xdr:col>17</xdr:col>
      <xdr:colOff>2588896</xdr:colOff>
      <xdr:row>2</xdr:row>
      <xdr:rowOff>1813559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5360" y="422325"/>
          <a:ext cx="2567941" cy="1756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60897</xdr:colOff>
      <xdr:row>3</xdr:row>
      <xdr:rowOff>68580</xdr:rowOff>
    </xdr:from>
    <xdr:to>
      <xdr:col>18</xdr:col>
      <xdr:colOff>1905</xdr:colOff>
      <xdr:row>3</xdr:row>
      <xdr:rowOff>1821180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47677" y="2362200"/>
          <a:ext cx="2560383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45720</xdr:colOff>
      <xdr:row>5</xdr:row>
      <xdr:rowOff>60553</xdr:rowOff>
    </xdr:from>
    <xdr:to>
      <xdr:col>18</xdr:col>
      <xdr:colOff>1905</xdr:colOff>
      <xdr:row>5</xdr:row>
      <xdr:rowOff>1844040</xdr:rowOff>
    </xdr:to>
    <xdr:pic>
      <xdr:nvPicPr>
        <xdr:cNvPr id="6" name="Riele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6209893"/>
          <a:ext cx="2575560" cy="178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6</xdr:row>
      <xdr:rowOff>36550</xdr:rowOff>
    </xdr:from>
    <xdr:to>
      <xdr:col>17</xdr:col>
      <xdr:colOff>2586990</xdr:colOff>
      <xdr:row>6</xdr:row>
      <xdr:rowOff>1844039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24880" y="8113750"/>
          <a:ext cx="2606040" cy="1807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45720</xdr:colOff>
      <xdr:row>2</xdr:row>
      <xdr:rowOff>17463</xdr:rowOff>
    </xdr:from>
    <xdr:to>
      <xdr:col>20</xdr:col>
      <xdr:colOff>2560320</xdr:colOff>
      <xdr:row>2</xdr:row>
      <xdr:rowOff>1767841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4460" y="383223"/>
          <a:ext cx="2552700" cy="175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53340</xdr:colOff>
      <xdr:row>5</xdr:row>
      <xdr:rowOff>71779</xdr:rowOff>
    </xdr:from>
    <xdr:to>
      <xdr:col>20</xdr:col>
      <xdr:colOff>2558415</xdr:colOff>
      <xdr:row>5</xdr:row>
      <xdr:rowOff>1821180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92080" y="6221119"/>
          <a:ext cx="2514600" cy="174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68580</xdr:colOff>
      <xdr:row>6</xdr:row>
      <xdr:rowOff>60960</xdr:rowOff>
    </xdr:from>
    <xdr:to>
      <xdr:col>21</xdr:col>
      <xdr:colOff>1905</xdr:colOff>
      <xdr:row>6</xdr:row>
      <xdr:rowOff>1813560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07320" y="8138160"/>
          <a:ext cx="25146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68580</xdr:colOff>
      <xdr:row>4</xdr:row>
      <xdr:rowOff>66349</xdr:rowOff>
    </xdr:from>
    <xdr:to>
      <xdr:col>21</xdr:col>
      <xdr:colOff>0</xdr:colOff>
      <xdr:row>4</xdr:row>
      <xdr:rowOff>1783080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07320" y="4287829"/>
          <a:ext cx="2522220" cy="1716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69372</xdr:colOff>
      <xdr:row>3</xdr:row>
      <xdr:rowOff>144780</xdr:rowOff>
    </xdr:from>
    <xdr:to>
      <xdr:col>21</xdr:col>
      <xdr:colOff>0</xdr:colOff>
      <xdr:row>3</xdr:row>
      <xdr:rowOff>1798320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08112" y="2438400"/>
          <a:ext cx="2521428" cy="16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45720</xdr:colOff>
      <xdr:row>3</xdr:row>
      <xdr:rowOff>30481</xdr:rowOff>
    </xdr:from>
    <xdr:to>
      <xdr:col>22</xdr:col>
      <xdr:colOff>2627433</xdr:colOff>
      <xdr:row>3</xdr:row>
      <xdr:rowOff>1889761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3460" y="2278381"/>
          <a:ext cx="2619813" cy="185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71320</xdr:colOff>
      <xdr:row>2</xdr:row>
      <xdr:rowOff>45720</xdr:rowOff>
    </xdr:from>
    <xdr:to>
      <xdr:col>22</xdr:col>
      <xdr:colOff>2626995</xdr:colOff>
      <xdr:row>2</xdr:row>
      <xdr:rowOff>1882140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39060" y="411480"/>
          <a:ext cx="2603300" cy="183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25400</xdr:colOff>
      <xdr:row>6</xdr:row>
      <xdr:rowOff>38100</xdr:rowOff>
    </xdr:from>
    <xdr:to>
      <xdr:col>22</xdr:col>
      <xdr:colOff>2625090</xdr:colOff>
      <xdr:row>6</xdr:row>
      <xdr:rowOff>1889760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3140" y="8115300"/>
          <a:ext cx="265684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26159</xdr:colOff>
      <xdr:row>4</xdr:row>
      <xdr:rowOff>15240</xdr:rowOff>
    </xdr:from>
    <xdr:to>
      <xdr:col>22</xdr:col>
      <xdr:colOff>2626995</xdr:colOff>
      <xdr:row>4</xdr:row>
      <xdr:rowOff>1897380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3899" y="4236720"/>
          <a:ext cx="2648461" cy="188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22860</xdr:colOff>
      <xdr:row>5</xdr:row>
      <xdr:rowOff>62354</xdr:rowOff>
    </xdr:from>
    <xdr:to>
      <xdr:col>22</xdr:col>
      <xdr:colOff>2626995</xdr:colOff>
      <xdr:row>5</xdr:row>
      <xdr:rowOff>1882140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0" y="6211694"/>
          <a:ext cx="2651760" cy="1819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68580</xdr:colOff>
      <xdr:row>2</xdr:row>
      <xdr:rowOff>24270</xdr:rowOff>
    </xdr:from>
    <xdr:to>
      <xdr:col>25</xdr:col>
      <xdr:colOff>1905</xdr:colOff>
      <xdr:row>2</xdr:row>
      <xdr:rowOff>1897381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6280" y="344310"/>
          <a:ext cx="2667000" cy="1873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30480</xdr:colOff>
      <xdr:row>5</xdr:row>
      <xdr:rowOff>38450</xdr:rowOff>
    </xdr:from>
    <xdr:to>
      <xdr:col>24</xdr:col>
      <xdr:colOff>2691765</xdr:colOff>
      <xdr:row>5</xdr:row>
      <xdr:rowOff>1889760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8180" y="6142070"/>
          <a:ext cx="2727960" cy="185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30480</xdr:colOff>
      <xdr:row>6</xdr:row>
      <xdr:rowOff>27190</xdr:rowOff>
    </xdr:from>
    <xdr:to>
      <xdr:col>25</xdr:col>
      <xdr:colOff>0</xdr:colOff>
      <xdr:row>6</xdr:row>
      <xdr:rowOff>1882140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8180" y="8058670"/>
          <a:ext cx="2712720" cy="185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22860</xdr:colOff>
      <xdr:row>4</xdr:row>
      <xdr:rowOff>23921</xdr:rowOff>
    </xdr:from>
    <xdr:to>
      <xdr:col>25</xdr:col>
      <xdr:colOff>3810</xdr:colOff>
      <xdr:row>4</xdr:row>
      <xdr:rowOff>1897380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0560" y="4199681"/>
          <a:ext cx="2743200" cy="1873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53340</xdr:colOff>
      <xdr:row>3</xdr:row>
      <xdr:rowOff>22860</xdr:rowOff>
    </xdr:from>
    <xdr:to>
      <xdr:col>25</xdr:col>
      <xdr:colOff>0</xdr:colOff>
      <xdr:row>3</xdr:row>
      <xdr:rowOff>1920240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1040" y="2270760"/>
          <a:ext cx="2689860" cy="189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15240</xdr:colOff>
      <xdr:row>2</xdr:row>
      <xdr:rowOff>30763</xdr:rowOff>
    </xdr:from>
    <xdr:to>
      <xdr:col>27</xdr:col>
      <xdr:colOff>0</xdr:colOff>
      <xdr:row>2</xdr:row>
      <xdr:rowOff>1920240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3422BB2-B540-47AE-B1B1-19845F0C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39100" y="350803"/>
          <a:ext cx="2766060" cy="1889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30480</xdr:colOff>
      <xdr:row>5</xdr:row>
      <xdr:rowOff>34979</xdr:rowOff>
    </xdr:from>
    <xdr:to>
      <xdr:col>27</xdr:col>
      <xdr:colOff>3810</xdr:colOff>
      <xdr:row>6</xdr:row>
      <xdr:rowOff>7621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EBEDCE7-E855-471C-B133-30FC4A55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54340" y="6138599"/>
          <a:ext cx="2735580" cy="190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15880</xdr:colOff>
      <xdr:row>5</xdr:row>
      <xdr:rowOff>1901877</xdr:rowOff>
    </xdr:from>
    <xdr:to>
      <xdr:col>27</xdr:col>
      <xdr:colOff>0</xdr:colOff>
      <xdr:row>6</xdr:row>
      <xdr:rowOff>1920241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FBF56FC-5313-4D2B-97F9-21691431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39740" y="8005497"/>
          <a:ext cx="2727320" cy="194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43676</xdr:colOff>
      <xdr:row>4</xdr:row>
      <xdr:rowOff>32385</xdr:rowOff>
    </xdr:from>
    <xdr:to>
      <xdr:col>26</xdr:col>
      <xdr:colOff>2720339</xdr:colOff>
      <xdr:row>5</xdr:row>
      <xdr:rowOff>38100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08A7366-E9DA-498F-9632-C60A6A82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7536" y="4208145"/>
          <a:ext cx="2752863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39370</xdr:colOff>
      <xdr:row>3</xdr:row>
      <xdr:rowOff>224</xdr:rowOff>
    </xdr:from>
    <xdr:to>
      <xdr:col>27</xdr:col>
      <xdr:colOff>0</xdr:colOff>
      <xdr:row>3</xdr:row>
      <xdr:rowOff>1920240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CEA3C7C-0C2E-426E-B7F0-8441ADFD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3230" y="2248124"/>
          <a:ext cx="2741930" cy="192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22860</xdr:colOff>
      <xdr:row>3</xdr:row>
      <xdr:rowOff>38100</xdr:rowOff>
    </xdr:from>
    <xdr:to>
      <xdr:col>29</xdr:col>
      <xdr:colOff>0</xdr:colOff>
      <xdr:row>3</xdr:row>
      <xdr:rowOff>1912620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D9B1475-6960-43E2-96E5-D078030A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35740" y="2286000"/>
          <a:ext cx="2682240" cy="187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15240</xdr:colOff>
      <xdr:row>2</xdr:row>
      <xdr:rowOff>18205</xdr:rowOff>
    </xdr:from>
    <xdr:to>
      <xdr:col>28</xdr:col>
      <xdr:colOff>2653665</xdr:colOff>
      <xdr:row>2</xdr:row>
      <xdr:rowOff>1920241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D707473-E792-4D93-9B65-711F4E7C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8120" y="338245"/>
          <a:ext cx="2705100" cy="190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15241</xdr:colOff>
      <xdr:row>5</xdr:row>
      <xdr:rowOff>7620</xdr:rowOff>
    </xdr:from>
    <xdr:to>
      <xdr:col>28</xdr:col>
      <xdr:colOff>2653665</xdr:colOff>
      <xdr:row>5</xdr:row>
      <xdr:rowOff>1897380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77593BC-DFC7-4E09-BAE9-02D672275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8121" y="6111240"/>
          <a:ext cx="2705099" cy="188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15240</xdr:colOff>
      <xdr:row>6</xdr:row>
      <xdr:rowOff>17404</xdr:rowOff>
    </xdr:from>
    <xdr:to>
      <xdr:col>28</xdr:col>
      <xdr:colOff>2653665</xdr:colOff>
      <xdr:row>7</xdr:row>
      <xdr:rowOff>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ACF05E2-7B8D-425D-B6D5-BDF766979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8120" y="8048884"/>
          <a:ext cx="2705100" cy="1910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30481</xdr:colOff>
      <xdr:row>4</xdr:row>
      <xdr:rowOff>0</xdr:rowOff>
    </xdr:from>
    <xdr:to>
      <xdr:col>29</xdr:col>
      <xdr:colOff>3811</xdr:colOff>
      <xdr:row>4</xdr:row>
      <xdr:rowOff>1905000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4112FA3A-393E-4AB9-BB6C-5CF55A768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3361" y="4175760"/>
          <a:ext cx="269748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76200</xdr:colOff>
      <xdr:row>2</xdr:row>
      <xdr:rowOff>7620</xdr:rowOff>
    </xdr:from>
    <xdr:to>
      <xdr:col>33</xdr:col>
      <xdr:colOff>0</xdr:colOff>
      <xdr:row>3</xdr:row>
      <xdr:rowOff>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2E5499A-6EDC-4B29-872F-0FCA6467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2100" y="327660"/>
          <a:ext cx="2735580" cy="1920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49245</xdr:colOff>
      <xdr:row>5</xdr:row>
      <xdr:rowOff>15240</xdr:rowOff>
    </xdr:from>
    <xdr:to>
      <xdr:col>32</xdr:col>
      <xdr:colOff>2731770</xdr:colOff>
      <xdr:row>5</xdr:row>
      <xdr:rowOff>1889760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DEEBB0B-930E-48F7-B1E2-9C53E310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5145" y="6118860"/>
          <a:ext cx="2739675" cy="187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83820</xdr:colOff>
      <xdr:row>6</xdr:row>
      <xdr:rowOff>76200</xdr:rowOff>
    </xdr:from>
    <xdr:to>
      <xdr:col>32</xdr:col>
      <xdr:colOff>2729865</xdr:colOff>
      <xdr:row>6</xdr:row>
      <xdr:rowOff>1866899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AE1BC178-92D1-49AA-AF1E-BB4A1DE5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720" y="8107680"/>
          <a:ext cx="2712720" cy="1790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45665</xdr:colOff>
      <xdr:row>4</xdr:row>
      <xdr:rowOff>76200</xdr:rowOff>
    </xdr:from>
    <xdr:to>
      <xdr:col>32</xdr:col>
      <xdr:colOff>2729866</xdr:colOff>
      <xdr:row>4</xdr:row>
      <xdr:rowOff>1859280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4EB6871-EDC1-45A1-968D-156FDE93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1565" y="4251960"/>
          <a:ext cx="2750876" cy="178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45720</xdr:colOff>
      <xdr:row>3</xdr:row>
      <xdr:rowOff>68580</xdr:rowOff>
    </xdr:from>
    <xdr:to>
      <xdr:col>33</xdr:col>
      <xdr:colOff>0</xdr:colOff>
      <xdr:row>4</xdr:row>
      <xdr:rowOff>15240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F90DC51-E357-46DE-801F-71F69BE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1620" y="2316480"/>
          <a:ext cx="2766060" cy="187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64945</xdr:colOff>
      <xdr:row>3</xdr:row>
      <xdr:rowOff>45720</xdr:rowOff>
    </xdr:from>
    <xdr:to>
      <xdr:col>30</xdr:col>
      <xdr:colOff>2729866</xdr:colOff>
      <xdr:row>3</xdr:row>
      <xdr:rowOff>1866900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BE6A25A0-4F3C-4F14-BC3E-D1C6DEA0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05885" y="2293620"/>
          <a:ext cx="2731596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63808</xdr:colOff>
      <xdr:row>2</xdr:row>
      <xdr:rowOff>45720</xdr:rowOff>
    </xdr:from>
    <xdr:to>
      <xdr:col>30</xdr:col>
      <xdr:colOff>2729865</xdr:colOff>
      <xdr:row>2</xdr:row>
      <xdr:rowOff>1889760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15905ED4-1CA8-4D98-B2E1-FD3D95DA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04748" y="365760"/>
          <a:ext cx="2732732" cy="184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22860</xdr:colOff>
      <xdr:row>4</xdr:row>
      <xdr:rowOff>8372</xdr:rowOff>
    </xdr:from>
    <xdr:to>
      <xdr:col>30</xdr:col>
      <xdr:colOff>2729865</xdr:colOff>
      <xdr:row>4</xdr:row>
      <xdr:rowOff>1874520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5E3DA494-9DC7-4F70-B7D8-F378CA02F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0" y="4184132"/>
          <a:ext cx="2773680" cy="1866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22860</xdr:colOff>
      <xdr:row>5</xdr:row>
      <xdr:rowOff>17466</xdr:rowOff>
    </xdr:from>
    <xdr:to>
      <xdr:col>31</xdr:col>
      <xdr:colOff>0</xdr:colOff>
      <xdr:row>5</xdr:row>
      <xdr:rowOff>1882140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CD2C801-9B0F-49B3-858A-6A3C44BB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0" y="6121086"/>
          <a:ext cx="2788920" cy="186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15240</xdr:colOff>
      <xdr:row>6</xdr:row>
      <xdr:rowOff>8492</xdr:rowOff>
    </xdr:from>
    <xdr:to>
      <xdr:col>30</xdr:col>
      <xdr:colOff>2731770</xdr:colOff>
      <xdr:row>6</xdr:row>
      <xdr:rowOff>1905000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283CC38A-2E54-41C1-AE95-8E0C8690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56180" y="8039972"/>
          <a:ext cx="2773680" cy="1896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68580</xdr:rowOff>
    </xdr:from>
    <xdr:to>
      <xdr:col>3</xdr:col>
      <xdr:colOff>0</xdr:colOff>
      <xdr:row>23</xdr:row>
      <xdr:rowOff>1717816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4274820"/>
          <a:ext cx="2811780" cy="1649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48504</xdr:colOff>
      <xdr:row>24</xdr:row>
      <xdr:rowOff>22860</xdr:rowOff>
    </xdr:from>
    <xdr:to>
      <xdr:col>3</xdr:col>
      <xdr:colOff>0</xdr:colOff>
      <xdr:row>24</xdr:row>
      <xdr:rowOff>1744980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964" y="5996940"/>
          <a:ext cx="2847096" cy="172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</xdr:row>
          <xdr:rowOff>30480</xdr:rowOff>
        </xdr:from>
        <xdr:to>
          <xdr:col>2</xdr:col>
          <xdr:colOff>2834640</xdr:colOff>
          <xdr:row>9</xdr:row>
          <xdr:rowOff>167640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2" spid="_x0000_s68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74520" y="1028700"/>
              <a:ext cx="266700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7</xdr:col>
      <xdr:colOff>106680</xdr:colOff>
      <xdr:row>1</xdr:row>
      <xdr:rowOff>15240</xdr:rowOff>
    </xdr:from>
    <xdr:to>
      <xdr:col>9</xdr:col>
      <xdr:colOff>968851</xdr:colOff>
      <xdr:row>3</xdr:row>
      <xdr:rowOff>243841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C4AEB5-1B5C-49B1-A23E-0298B6A84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28194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</xdr:row>
          <xdr:rowOff>68580</xdr:rowOff>
        </xdr:from>
        <xdr:to>
          <xdr:col>2</xdr:col>
          <xdr:colOff>2838450</xdr:colOff>
          <xdr:row>11</xdr:row>
          <xdr:rowOff>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3" spid="_x0000_s219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83080" y="1112520"/>
              <a:ext cx="263652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7</xdr:col>
      <xdr:colOff>182880</xdr:colOff>
      <xdr:row>1</xdr:row>
      <xdr:rowOff>7620</xdr:rowOff>
    </xdr:from>
    <xdr:to>
      <xdr:col>9</xdr:col>
      <xdr:colOff>1048861</xdr:colOff>
      <xdr:row>4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188E15-BA3A-47CF-A6CB-B5ADB72F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0" y="27432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</xdr:row>
          <xdr:rowOff>53340</xdr:rowOff>
        </xdr:from>
        <xdr:to>
          <xdr:col>2</xdr:col>
          <xdr:colOff>2876550</xdr:colOff>
          <xdr:row>11</xdr:row>
          <xdr:rowOff>57150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4" spid="_x0000_s229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05940" y="1051560"/>
              <a:ext cx="263652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7</xdr:col>
      <xdr:colOff>129540</xdr:colOff>
      <xdr:row>1</xdr:row>
      <xdr:rowOff>53340</xdr:rowOff>
    </xdr:from>
    <xdr:to>
      <xdr:col>9</xdr:col>
      <xdr:colOff>1088866</xdr:colOff>
      <xdr:row>3</xdr:row>
      <xdr:rowOff>97156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77E2A6-4007-4AA2-BCE2-8A3ABC9B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32004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</xdr:colOff>
          <xdr:row>4</xdr:row>
          <xdr:rowOff>45720</xdr:rowOff>
        </xdr:from>
        <xdr:to>
          <xdr:col>5</xdr:col>
          <xdr:colOff>15240</xdr:colOff>
          <xdr:row>11</xdr:row>
          <xdr:rowOff>97155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5" spid="_x0000_s260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80160" y="960120"/>
              <a:ext cx="26974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22860</xdr:colOff>
      <xdr:row>1</xdr:row>
      <xdr:rowOff>0</xdr:rowOff>
    </xdr:from>
    <xdr:to>
      <xdr:col>9</xdr:col>
      <xdr:colOff>1407001</xdr:colOff>
      <xdr:row>4</xdr:row>
      <xdr:rowOff>249556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012BC4-018B-43A2-A7F6-E102BD536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26670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4</xdr:row>
          <xdr:rowOff>83820</xdr:rowOff>
        </xdr:from>
        <xdr:to>
          <xdr:col>5</xdr:col>
          <xdr:colOff>15240</xdr:colOff>
          <xdr:row>11</xdr:row>
          <xdr:rowOff>131445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7" spid="_x0000_s280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2540" y="998220"/>
              <a:ext cx="26974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15240</xdr:colOff>
      <xdr:row>1</xdr:row>
      <xdr:rowOff>15240</xdr:rowOff>
    </xdr:from>
    <xdr:to>
      <xdr:col>10</xdr:col>
      <xdr:colOff>16351</xdr:colOff>
      <xdr:row>4</xdr:row>
      <xdr:rowOff>247651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088BB2-3CAF-4629-B763-488B9C2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28194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182880</xdr:colOff>
      <xdr:row>1</xdr:row>
      <xdr:rowOff>7620</xdr:rowOff>
    </xdr:from>
    <xdr:to>
      <xdr:col>9</xdr:col>
      <xdr:colOff>1048861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D9D822-EA09-442E-8A3A-AEC42474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0" y="27432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3</xdr:row>
          <xdr:rowOff>60960</xdr:rowOff>
        </xdr:from>
        <xdr:to>
          <xdr:col>3</xdr:col>
          <xdr:colOff>0</xdr:colOff>
          <xdr:row>10</xdr:row>
          <xdr:rowOff>245745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285B947C-7ACE-4910-AC11-C1D3805480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10" spid="_x0000_s340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22120" y="1104900"/>
              <a:ext cx="279654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</xdr:row>
      <xdr:rowOff>22860</xdr:rowOff>
    </xdr:from>
    <xdr:to>
      <xdr:col>9</xdr:col>
      <xdr:colOff>1044533</xdr:colOff>
      <xdr:row>3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3F5FDC-E247-4980-88D1-BDA1BEBF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289560"/>
          <a:ext cx="2271353" cy="98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</xdr:row>
          <xdr:rowOff>7620</xdr:rowOff>
        </xdr:from>
        <xdr:to>
          <xdr:col>3</xdr:col>
          <xdr:colOff>0</xdr:colOff>
          <xdr:row>11</xdr:row>
          <xdr:rowOff>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27A326AF-651D-4B5A-B602-EF3175C240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11" spid="_x0000_s361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60220" y="1181100"/>
              <a:ext cx="27355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30480</xdr:rowOff>
        </xdr:from>
        <xdr:to>
          <xdr:col>3</xdr:col>
          <xdr:colOff>0</xdr:colOff>
          <xdr:row>10</xdr:row>
          <xdr:rowOff>167640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8" spid="_x0000_s290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71600" y="1074420"/>
              <a:ext cx="2773680" cy="1927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9</xdr:col>
      <xdr:colOff>0</xdr:colOff>
      <xdr:row>1</xdr:row>
      <xdr:rowOff>0</xdr:rowOff>
    </xdr:from>
    <xdr:to>
      <xdr:col>26</xdr:col>
      <xdr:colOff>16351</xdr:colOff>
      <xdr:row>3</xdr:row>
      <xdr:rowOff>173356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1DAB78-8DA9-4052-B94D-25525BEE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266700"/>
          <a:ext cx="2218531" cy="96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vmlDrawing" Target="../drawings/vmlDrawing1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6:N10"/>
  <sheetViews>
    <sheetView workbookViewId="0">
      <selection activeCell="I11" sqref="I11"/>
    </sheetView>
  </sheetViews>
  <sheetFormatPr baseColWidth="10" defaultColWidth="11.453125" defaultRowHeight="14.5" x14ac:dyDescent="0.35"/>
  <sheetData>
    <row r="6" spans="2:14" ht="33.5" x14ac:dyDescent="0.75">
      <c r="B6" s="313" t="s">
        <v>0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</row>
    <row r="9" spans="2:14" ht="33.5" x14ac:dyDescent="0.75">
      <c r="B9" s="313" t="s">
        <v>1</v>
      </c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</row>
    <row r="10" spans="2:14" ht="33.5" x14ac:dyDescent="0.75"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</row>
  </sheetData>
  <sheetProtection algorithmName="SHA-512" hashValue="rmjqBfRLWG5E3Gs61PBoKyk9Sm6/GhrjJxPhThA3jvWjeOiNA+ZrSTVdnqtW8VEuBDg0+KQEhA/KQ+N0g5DVrw==" saltValue="R42Moeosn7GVtKUx6Majwg==" spinCount="100000" sheet="1" objects="1" scenarios="1"/>
  <mergeCells count="3">
    <mergeCell ref="B9:N9"/>
    <mergeCell ref="B6:N6"/>
    <mergeCell ref="B10:N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60"/>
  <sheetViews>
    <sheetView topLeftCell="A2" zoomScaleNormal="100" workbookViewId="0">
      <selection activeCell="C13" sqref="C13"/>
    </sheetView>
  </sheetViews>
  <sheetFormatPr baseColWidth="10" defaultColWidth="11.453125" defaultRowHeight="10" x14ac:dyDescent="0.2"/>
  <cols>
    <col min="1" max="1" width="4.1796875" style="2" customWidth="1"/>
    <col min="2" max="2" width="13.1796875" style="1" bestFit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3.54296875" style="1" customWidth="1"/>
    <col min="8" max="8" width="9.1796875" style="1" customWidth="1"/>
    <col min="9" max="9" width="12" style="1" customWidth="1"/>
    <col min="10" max="10" width="32.1796875" style="1" bestFit="1" customWidth="1"/>
    <col min="11" max="18" width="17.54296875" style="2" hidden="1" customWidth="1"/>
    <col min="19" max="19" width="12" style="2" hidden="1" customWidth="1"/>
    <col min="20" max="20" width="41.81640625" style="2" hidden="1" customWidth="1"/>
    <col min="21" max="21" width="26.81640625" style="2" hidden="1" customWidth="1"/>
    <col min="22" max="22" width="32.54296875" style="5" hidden="1" customWidth="1"/>
    <col min="23" max="23" width="22.453125" style="2" hidden="1" customWidth="1"/>
    <col min="24" max="24" width="26.81640625" style="2" hidden="1" customWidth="1"/>
    <col min="25" max="26" width="11.453125" style="2" hidden="1" customWidth="1"/>
    <col min="27" max="27" width="37.1796875" style="2" customWidth="1"/>
    <col min="28" max="30" width="11.453125" style="2" customWidth="1"/>
    <col min="31" max="16384" width="11.453125" style="2"/>
  </cols>
  <sheetData>
    <row r="1" spans="2:26" ht="21" customHeight="1" thickBot="1" x14ac:dyDescent="0.25">
      <c r="M1" s="50" t="str">
        <f>H10</f>
        <v>18 mm   -    5 inc+8+5 inc</v>
      </c>
    </row>
    <row r="2" spans="2:26" ht="39" customHeight="1" thickBot="1" x14ac:dyDescent="0.25">
      <c r="B2" s="353" t="s">
        <v>2</v>
      </c>
      <c r="C2" s="354"/>
      <c r="D2" s="354"/>
      <c r="E2" s="354"/>
      <c r="F2" s="354"/>
      <c r="G2" s="354"/>
      <c r="H2" s="354"/>
      <c r="I2" s="360"/>
      <c r="J2" s="376"/>
      <c r="K2" s="2">
        <v>3.7</v>
      </c>
      <c r="L2" s="18" t="str">
        <f>N2&amp;" -    "&amp;M2&amp;" "&amp;"mm"</f>
        <v>Semilla -    3.7 mm</v>
      </c>
      <c r="M2" s="1" t="s">
        <v>3</v>
      </c>
      <c r="N2" s="1" t="s">
        <v>4</v>
      </c>
      <c r="O2" s="2" t="s">
        <v>5</v>
      </c>
      <c r="Q2" s="1" t="s">
        <v>6</v>
      </c>
      <c r="R2" s="1"/>
      <c r="S2" s="18" t="s">
        <v>7</v>
      </c>
    </row>
    <row r="3" spans="2:26" ht="22" x14ac:dyDescent="0.2">
      <c r="B3" s="146"/>
      <c r="C3" s="178"/>
      <c r="D3" s="179"/>
      <c r="E3" s="147"/>
      <c r="F3" s="147"/>
      <c r="G3" s="147"/>
      <c r="H3" s="147"/>
      <c r="I3" s="147"/>
      <c r="J3" s="377"/>
      <c r="K3" s="2">
        <v>4</v>
      </c>
      <c r="L3" s="18" t="str">
        <f>M3&amp;" "&amp;"mm"&amp;"     -    "&amp;N3</f>
        <v>4 mm     -    Incoloro</v>
      </c>
      <c r="M3" s="1">
        <v>4</v>
      </c>
      <c r="N3" s="1" t="s">
        <v>8</v>
      </c>
      <c r="O3" s="2" t="s">
        <v>9</v>
      </c>
      <c r="Q3" s="1" t="s">
        <v>6</v>
      </c>
      <c r="R3" s="1"/>
      <c r="S3" s="18" t="s">
        <v>10</v>
      </c>
    </row>
    <row r="4" spans="2:26" ht="15" customHeight="1" thickBot="1" x14ac:dyDescent="0.25">
      <c r="B4" s="95"/>
      <c r="C4" s="298"/>
      <c r="J4" s="378"/>
      <c r="K4" s="2">
        <v>4</v>
      </c>
      <c r="L4" s="18" t="str">
        <f>M4&amp;" "&amp;"mm"&amp;"     -    "&amp;N4</f>
        <v>4 mm     -    Saten</v>
      </c>
      <c r="M4" s="1">
        <v>4</v>
      </c>
      <c r="N4" s="1" t="s">
        <v>11</v>
      </c>
      <c r="O4" s="2" t="s">
        <v>12</v>
      </c>
      <c r="Q4" s="1" t="s">
        <v>6</v>
      </c>
      <c r="R4" s="1"/>
      <c r="S4" s="18" t="s">
        <v>10</v>
      </c>
    </row>
    <row r="5" spans="2:26" ht="21" customHeight="1" thickBot="1" x14ac:dyDescent="0.25">
      <c r="B5" s="95"/>
      <c r="C5" s="298"/>
      <c r="G5" s="300" t="s">
        <v>13</v>
      </c>
      <c r="H5" s="301"/>
      <c r="I5" s="301"/>
      <c r="J5" s="340"/>
      <c r="K5" s="2">
        <v>5</v>
      </c>
      <c r="L5" s="18" t="str">
        <f>M5&amp;" "&amp;"mm"&amp;"     -    "&amp;N5</f>
        <v>5 mm     -    Incoloro</v>
      </c>
      <c r="M5" s="1">
        <v>5</v>
      </c>
      <c r="N5" s="1" t="s">
        <v>8</v>
      </c>
      <c r="O5" s="2" t="s">
        <v>14</v>
      </c>
      <c r="Q5" s="1" t="s">
        <v>6</v>
      </c>
      <c r="R5" s="1"/>
      <c r="S5" s="18" t="s">
        <v>10</v>
      </c>
      <c r="V5" s="12" t="s">
        <v>15</v>
      </c>
      <c r="W5" s="2" t="s">
        <v>16</v>
      </c>
      <c r="X5" s="2" t="s">
        <v>17</v>
      </c>
      <c r="Y5" s="2" t="s">
        <v>18</v>
      </c>
      <c r="Z5" s="2" t="s">
        <v>19</v>
      </c>
    </row>
    <row r="6" spans="2:26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2">
        <v>6</v>
      </c>
      <c r="L6" s="18" t="str">
        <f>M6&amp;" "&amp;"mm"&amp;"     -    "&amp;N6</f>
        <v>6 mm     -    Incoloro</v>
      </c>
      <c r="M6" s="1">
        <v>6</v>
      </c>
      <c r="N6" s="1" t="s">
        <v>8</v>
      </c>
      <c r="O6" s="2" t="s">
        <v>22</v>
      </c>
      <c r="Q6" s="1" t="s">
        <v>6</v>
      </c>
      <c r="R6" s="1"/>
      <c r="S6" s="18" t="s">
        <v>10</v>
      </c>
      <c r="V6" s="12" t="s">
        <v>25</v>
      </c>
      <c r="W6" s="2" t="s">
        <v>26</v>
      </c>
      <c r="X6" s="2">
        <v>80</v>
      </c>
      <c r="Y6" s="2">
        <v>62</v>
      </c>
      <c r="Z6" s="2">
        <v>4</v>
      </c>
    </row>
    <row r="7" spans="2:26" ht="15" customHeight="1" x14ac:dyDescent="0.2">
      <c r="B7" s="95"/>
      <c r="C7" s="298"/>
      <c r="D7" s="96"/>
      <c r="E7" s="96"/>
      <c r="G7" s="51" t="s">
        <v>27</v>
      </c>
      <c r="H7" s="303" t="str">
        <f>C12&amp;"  "&amp;"mm"&amp;" "&amp;"x"&amp;" "&amp;B8&amp;" "&amp;"mm"</f>
        <v>4000  mm x 2000 mm</v>
      </c>
      <c r="I7" s="303"/>
      <c r="J7" s="99"/>
      <c r="K7" s="2">
        <v>6</v>
      </c>
      <c r="L7" s="18" t="str">
        <f>M7&amp;" "&amp;"mm"&amp;"     -    "&amp;N7</f>
        <v>6 mm     -    Laminado</v>
      </c>
      <c r="M7" s="1">
        <v>6</v>
      </c>
      <c r="N7" s="1" t="s">
        <v>28</v>
      </c>
      <c r="O7" s="2" t="s">
        <v>29</v>
      </c>
      <c r="Q7" s="1" t="s">
        <v>6</v>
      </c>
      <c r="R7" s="1"/>
      <c r="S7" s="18" t="s">
        <v>10</v>
      </c>
      <c r="V7" s="12" t="s">
        <v>32</v>
      </c>
      <c r="W7" s="2" t="s">
        <v>33</v>
      </c>
      <c r="X7" s="2">
        <v>98</v>
      </c>
      <c r="Y7" s="2">
        <v>80</v>
      </c>
    </row>
    <row r="8" spans="2:26" ht="26.5" customHeight="1" x14ac:dyDescent="0.2">
      <c r="B8" s="98">
        <v>2000</v>
      </c>
      <c r="C8" s="298"/>
      <c r="D8" s="96"/>
      <c r="E8" s="96"/>
      <c r="F8" s="2"/>
      <c r="G8" s="51" t="s">
        <v>34</v>
      </c>
      <c r="H8" s="304" t="s">
        <v>35</v>
      </c>
      <c r="I8" s="304"/>
      <c r="J8" s="99"/>
      <c r="K8" s="2">
        <v>8</v>
      </c>
      <c r="L8" s="18" t="str">
        <f t="shared" ref="L8:L15" si="0">M8&amp;" "&amp;"mm"&amp;"   -    "&amp;N8</f>
        <v>18 mm   -    4 inc+10+4 inc</v>
      </c>
      <c r="M8" s="1">
        <v>18</v>
      </c>
      <c r="N8" s="1" t="s">
        <v>36</v>
      </c>
      <c r="O8" s="2" t="s">
        <v>37</v>
      </c>
      <c r="Q8" s="1" t="s">
        <v>38</v>
      </c>
      <c r="R8" s="1"/>
      <c r="S8" s="18" t="s">
        <v>39</v>
      </c>
      <c r="V8" s="12" t="s">
        <v>42</v>
      </c>
    </row>
    <row r="9" spans="2:26" ht="21" customHeight="1" x14ac:dyDescent="0.2">
      <c r="B9" s="95"/>
      <c r="C9" s="298"/>
      <c r="D9" s="96"/>
      <c r="E9" s="96"/>
      <c r="G9" s="51" t="s">
        <v>43</v>
      </c>
      <c r="H9" s="341" t="s">
        <v>25</v>
      </c>
      <c r="I9" s="341"/>
      <c r="J9" s="100"/>
      <c r="K9" s="2">
        <v>8</v>
      </c>
      <c r="L9" s="18" t="str">
        <f t="shared" si="0"/>
        <v>18 mm   -    4 inc+10+4 sat</v>
      </c>
      <c r="M9" s="1">
        <v>18</v>
      </c>
      <c r="N9" s="1" t="s">
        <v>45</v>
      </c>
      <c r="O9" s="2" t="s">
        <v>46</v>
      </c>
      <c r="Q9" s="1" t="s">
        <v>38</v>
      </c>
      <c r="R9" s="1"/>
      <c r="S9" s="18" t="s">
        <v>39</v>
      </c>
      <c r="V9" s="12" t="s">
        <v>44</v>
      </c>
    </row>
    <row r="10" spans="2:26" ht="21" customHeight="1" x14ac:dyDescent="0.2">
      <c r="B10" s="101"/>
      <c r="C10" s="298"/>
      <c r="D10" s="96"/>
      <c r="E10" s="96"/>
      <c r="G10" s="51" t="s">
        <v>51</v>
      </c>
      <c r="H10" s="295" t="s">
        <v>249</v>
      </c>
      <c r="I10" s="295"/>
      <c r="J10" s="102"/>
      <c r="K10" s="2">
        <v>10</v>
      </c>
      <c r="L10" s="18" t="str">
        <f t="shared" si="0"/>
        <v>18 mm   -    5 inc+8+5 inc</v>
      </c>
      <c r="M10" s="1">
        <v>18</v>
      </c>
      <c r="N10" s="1" t="s">
        <v>48</v>
      </c>
      <c r="O10" s="2" t="s">
        <v>49</v>
      </c>
      <c r="Q10" s="1" t="s">
        <v>38</v>
      </c>
      <c r="R10" s="1"/>
      <c r="S10" s="18" t="s">
        <v>39</v>
      </c>
    </row>
    <row r="11" spans="2:26" ht="21" customHeight="1" x14ac:dyDescent="0.2">
      <c r="B11" s="95"/>
      <c r="C11" s="299"/>
      <c r="G11" s="51" t="s">
        <v>55</v>
      </c>
      <c r="H11" s="7">
        <f>C12*B8/1000000</f>
        <v>8</v>
      </c>
      <c r="I11" s="8" t="s">
        <v>56</v>
      </c>
      <c r="J11" s="103"/>
      <c r="K11" s="2">
        <v>9</v>
      </c>
      <c r="L11" s="18" t="str">
        <f t="shared" si="0"/>
        <v>19 mm   -    4 inc+10+5 inc</v>
      </c>
      <c r="M11" s="1">
        <v>19</v>
      </c>
      <c r="N11" s="1" t="s">
        <v>53</v>
      </c>
      <c r="O11" s="2" t="s">
        <v>54</v>
      </c>
      <c r="Q11" s="1" t="s">
        <v>38</v>
      </c>
      <c r="R11" s="1"/>
      <c r="S11" s="18" t="s">
        <v>39</v>
      </c>
      <c r="V11" s="2"/>
    </row>
    <row r="12" spans="2:26" ht="21" customHeight="1" x14ac:dyDescent="0.2">
      <c r="B12" s="95"/>
      <c r="C12" s="37">
        <v>4000</v>
      </c>
      <c r="E12" s="105"/>
      <c r="G12" s="52" t="s">
        <v>59</v>
      </c>
      <c r="H12" s="53">
        <v>1</v>
      </c>
      <c r="I12" s="8" t="s">
        <v>60</v>
      </c>
      <c r="J12" s="102"/>
      <c r="K12" s="27">
        <v>11</v>
      </c>
      <c r="L12" s="18" t="str">
        <f t="shared" si="0"/>
        <v>19 mm   -    5 inc+8+6 inc</v>
      </c>
      <c r="M12" s="1">
        <v>19</v>
      </c>
      <c r="N12" s="1" t="s">
        <v>57</v>
      </c>
      <c r="O12" s="2" t="s">
        <v>58</v>
      </c>
      <c r="P12" s="1"/>
      <c r="Q12" s="1" t="s">
        <v>38</v>
      </c>
      <c r="R12" s="1"/>
      <c r="S12" s="18" t="s">
        <v>39</v>
      </c>
      <c r="T12" s="3"/>
      <c r="U12" s="3"/>
      <c r="V12" s="2"/>
    </row>
    <row r="13" spans="2:26" s="3" customFormat="1" ht="21" customHeight="1" thickBot="1" x14ac:dyDescent="0.25">
      <c r="B13" s="106"/>
      <c r="C13" s="107"/>
      <c r="D13" s="107"/>
      <c r="E13" s="107"/>
      <c r="F13" s="107"/>
      <c r="G13" s="108" t="s">
        <v>208</v>
      </c>
      <c r="H13" s="109">
        <f>IF(H10=L2,((H11/4)*K2*2.54*1.3),IF(H10=L3,((H11/4)*K3*2.54*1.3),IF(H10=L4,((H11/4)*K4*2.54*1.3),IF(H10=L5,((H11/4)*K5*2.54*1.3),IF(H10=L6,((H11/4)*K6*2.54*1.3),IF(H10=L7,((H11/4)*K7*2.54*1.3),IF(H10=L8,((H11/4)*K8*2.54*1.3),IF(H10=L9,((H11/4)*K9*2.54*1.3),IF(H10=L10,((H11/4)*K10*2.54*1.3),IF(H10=L11,((H11/4)*K11*2.54*1.3),IF(H10=L12,((H11/4)*K12*2.54*1.3),IF(H10=L13,((H11/4)*K13*2.54*1.3),IF(H10=L15,((H11/4)*K15*2.54*1.3),IF(H10=L16,((H11/4)*K16*2.54*1.3)))))))))))))))</f>
        <v>66.039999999999992</v>
      </c>
      <c r="I13" s="107"/>
      <c r="J13" s="110"/>
      <c r="K13" s="2">
        <v>11</v>
      </c>
      <c r="L13" s="18" t="str">
        <f t="shared" si="0"/>
        <v>19 mm   -    5 inc+8+6 lam</v>
      </c>
      <c r="M13" s="1">
        <v>19</v>
      </c>
      <c r="N13" s="1" t="s">
        <v>61</v>
      </c>
      <c r="O13" s="2" t="s">
        <v>62</v>
      </c>
      <c r="P13" s="2"/>
      <c r="Q13" s="1" t="s">
        <v>38</v>
      </c>
      <c r="R13" s="1"/>
      <c r="S13" s="18" t="s">
        <v>39</v>
      </c>
      <c r="T13" s="2"/>
      <c r="U13" s="2"/>
      <c r="V13" s="2"/>
      <c r="W13" s="2"/>
      <c r="X13" s="2"/>
      <c r="Y13" s="2"/>
    </row>
    <row r="14" spans="2:26" s="3" customFormat="1" ht="21" customHeight="1" thickBot="1" x14ac:dyDescent="0.25">
      <c r="G14" s="135"/>
      <c r="H14" s="134"/>
      <c r="K14" s="2"/>
      <c r="L14" s="18"/>
      <c r="M14" s="1"/>
      <c r="N14" s="1"/>
      <c r="O14" s="2"/>
      <c r="P14" s="2"/>
      <c r="Q14" s="1"/>
      <c r="R14" s="1"/>
      <c r="S14" s="18"/>
      <c r="T14" s="2"/>
      <c r="U14" s="2"/>
      <c r="V14" s="2"/>
      <c r="W14" s="2"/>
      <c r="X14" s="2"/>
      <c r="Y14" s="2"/>
    </row>
    <row r="15" spans="2:26" ht="15" customHeight="1" thickBot="1" x14ac:dyDescent="0.25">
      <c r="B15" s="296" t="s">
        <v>66</v>
      </c>
      <c r="C15" s="310"/>
      <c r="D15" s="310"/>
      <c r="E15" s="297"/>
      <c r="F15" s="116" t="s">
        <v>67</v>
      </c>
      <c r="G15" s="116" t="s">
        <v>68</v>
      </c>
      <c r="H15" s="296" t="s">
        <v>69</v>
      </c>
      <c r="I15" s="297"/>
      <c r="J15" s="116" t="s">
        <v>70</v>
      </c>
      <c r="K15" s="2">
        <v>10</v>
      </c>
      <c r="L15" s="18" t="str">
        <f t="shared" si="0"/>
        <v>20 mm   -    4 inc+10+6 lam</v>
      </c>
      <c r="M15" s="1">
        <v>20</v>
      </c>
      <c r="N15" s="1" t="s">
        <v>64</v>
      </c>
      <c r="O15" s="2" t="s">
        <v>65</v>
      </c>
      <c r="Q15" s="1" t="s">
        <v>38</v>
      </c>
      <c r="R15" s="1"/>
      <c r="S15" s="18" t="s">
        <v>39</v>
      </c>
      <c r="V15" s="2"/>
    </row>
    <row r="16" spans="2:26" ht="15" customHeight="1" x14ac:dyDescent="0.2">
      <c r="B16" s="308" t="s">
        <v>231</v>
      </c>
      <c r="C16" s="309"/>
      <c r="D16" s="309"/>
      <c r="E16" s="186"/>
      <c r="F16" s="250">
        <f>H12*2</f>
        <v>2</v>
      </c>
      <c r="G16" s="241">
        <f>C12+5</f>
        <v>4005</v>
      </c>
      <c r="H16" s="186" t="s">
        <v>75</v>
      </c>
      <c r="I16" s="186" t="s">
        <v>75</v>
      </c>
      <c r="J16" s="248" t="s">
        <v>76</v>
      </c>
      <c r="K16" s="2">
        <v>12</v>
      </c>
      <c r="L16" s="2" t="s">
        <v>71</v>
      </c>
      <c r="M16" s="12">
        <v>22</v>
      </c>
      <c r="N16" s="1" t="s">
        <v>72</v>
      </c>
      <c r="O16" s="2" t="s">
        <v>73</v>
      </c>
      <c r="S16" s="18" t="s">
        <v>74</v>
      </c>
      <c r="V16" s="2"/>
    </row>
    <row r="17" spans="2:24" ht="15" customHeight="1" x14ac:dyDescent="0.2">
      <c r="B17" s="260" t="str">
        <f>B16</f>
        <v>MARCO DOBLE RIEL CORREDERA S75</v>
      </c>
      <c r="C17" s="261"/>
      <c r="D17" s="261"/>
      <c r="E17" s="43"/>
      <c r="F17" s="46">
        <f>F16</f>
        <v>2</v>
      </c>
      <c r="G17" s="15">
        <f>B8+5</f>
        <v>2005</v>
      </c>
      <c r="H17" s="43" t="s">
        <v>75</v>
      </c>
      <c r="I17" s="43" t="s">
        <v>75</v>
      </c>
      <c r="J17" s="141" t="s">
        <v>77</v>
      </c>
      <c r="K17" s="232"/>
      <c r="L17" s="232"/>
      <c r="M17" s="232"/>
      <c r="N17" s="232"/>
      <c r="O17" s="232"/>
      <c r="P17" s="232"/>
      <c r="Q17" s="232"/>
      <c r="R17" s="232"/>
      <c r="S17" s="2" t="s">
        <v>78</v>
      </c>
      <c r="T17" s="2" t="s">
        <v>79</v>
      </c>
      <c r="U17" s="12" t="s">
        <v>32</v>
      </c>
      <c r="V17" s="2"/>
      <c r="W17" s="16" t="s">
        <v>80</v>
      </c>
      <c r="X17" s="16" t="s">
        <v>81</v>
      </c>
    </row>
    <row r="18" spans="2:24" ht="15" customHeight="1" x14ac:dyDescent="0.2">
      <c r="B18" s="260" t="s">
        <v>82</v>
      </c>
      <c r="C18" s="261"/>
      <c r="D18" s="261"/>
      <c r="E18" s="43"/>
      <c r="F18" s="46">
        <f>F17</f>
        <v>2</v>
      </c>
      <c r="G18" s="15">
        <f>G16-85</f>
        <v>3920</v>
      </c>
      <c r="H18" s="43" t="s">
        <v>83</v>
      </c>
      <c r="I18" s="43" t="s">
        <v>83</v>
      </c>
      <c r="J18" s="141" t="s">
        <v>76</v>
      </c>
      <c r="K18" s="232"/>
      <c r="L18" s="232"/>
      <c r="M18" s="232"/>
      <c r="N18" s="232"/>
      <c r="O18" s="232"/>
      <c r="P18" s="232"/>
      <c r="Q18" s="232"/>
      <c r="R18" s="232"/>
      <c r="S18" s="2" t="s">
        <v>84</v>
      </c>
      <c r="T18" s="2" t="s">
        <v>85</v>
      </c>
      <c r="U18" s="12" t="s">
        <v>42</v>
      </c>
      <c r="W18" s="16" t="s">
        <v>86</v>
      </c>
      <c r="X18" s="16" t="s">
        <v>87</v>
      </c>
    </row>
    <row r="19" spans="2:24" ht="15" customHeight="1" x14ac:dyDescent="0.2">
      <c r="B19" s="260" t="s">
        <v>82</v>
      </c>
      <c r="C19" s="261"/>
      <c r="D19" s="261"/>
      <c r="E19" s="43"/>
      <c r="F19" s="46">
        <f>F18</f>
        <v>2</v>
      </c>
      <c r="G19" s="15">
        <f>G17-85</f>
        <v>1920</v>
      </c>
      <c r="H19" s="43" t="s">
        <v>83</v>
      </c>
      <c r="I19" s="43" t="s">
        <v>83</v>
      </c>
      <c r="J19" s="141" t="s">
        <v>77</v>
      </c>
      <c r="K19" s="232"/>
      <c r="L19" s="232"/>
      <c r="M19" s="232"/>
      <c r="N19" s="232"/>
      <c r="O19" s="232"/>
      <c r="P19" s="232"/>
      <c r="Q19" s="232"/>
      <c r="R19" s="232"/>
      <c r="S19" s="2" t="s">
        <v>88</v>
      </c>
      <c r="T19" s="2" t="s">
        <v>89</v>
      </c>
      <c r="U19" s="12" t="s">
        <v>44</v>
      </c>
      <c r="V19" s="2"/>
      <c r="W19" s="16" t="s">
        <v>90</v>
      </c>
      <c r="X19" s="16" t="s">
        <v>91</v>
      </c>
    </row>
    <row r="20" spans="2:24" ht="15" customHeight="1" x14ac:dyDescent="0.2">
      <c r="B20" s="260" t="s">
        <v>217</v>
      </c>
      <c r="C20" s="261"/>
      <c r="D20" s="261"/>
      <c r="E20" s="43"/>
      <c r="F20" s="46">
        <f>H12*8</f>
        <v>8</v>
      </c>
      <c r="G20" s="15">
        <f>((C12/2)-48+8-3)/2+45</f>
        <v>1023.5</v>
      </c>
      <c r="H20" s="43" t="s">
        <v>75</v>
      </c>
      <c r="I20" s="43" t="s">
        <v>75</v>
      </c>
      <c r="J20" s="141" t="s">
        <v>250</v>
      </c>
      <c r="K20" s="232"/>
      <c r="L20" s="232"/>
      <c r="M20" s="232"/>
      <c r="N20" s="232"/>
      <c r="O20" s="232"/>
      <c r="P20" s="232"/>
      <c r="Q20" s="232"/>
      <c r="R20" s="232"/>
      <c r="S20" s="2" t="s">
        <v>94</v>
      </c>
      <c r="T20" s="2" t="s">
        <v>95</v>
      </c>
      <c r="U20" s="12" t="s">
        <v>25</v>
      </c>
      <c r="W20" s="16" t="s">
        <v>96</v>
      </c>
      <c r="X20" s="16" t="s">
        <v>97</v>
      </c>
    </row>
    <row r="21" spans="2:24" ht="15" customHeight="1" x14ac:dyDescent="0.25">
      <c r="B21" s="260" t="str">
        <f>B20</f>
        <v>HOJA CORREDERA 80</v>
      </c>
      <c r="C21" s="261"/>
      <c r="D21" s="261"/>
      <c r="E21" s="43"/>
      <c r="F21" s="46">
        <f>F20</f>
        <v>8</v>
      </c>
      <c r="G21" s="15">
        <f>B8-48-48+16+5</f>
        <v>1925</v>
      </c>
      <c r="H21" s="43" t="s">
        <v>75</v>
      </c>
      <c r="I21" s="43" t="s">
        <v>75</v>
      </c>
      <c r="J21" s="141" t="s">
        <v>251</v>
      </c>
      <c r="K21" s="232"/>
      <c r="L21" s="232"/>
      <c r="M21" s="232"/>
      <c r="N21" s="232"/>
      <c r="O21" s="232"/>
      <c r="P21" s="232"/>
      <c r="Q21" s="232"/>
      <c r="R21" s="232"/>
      <c r="S21" s="2" t="s">
        <v>99</v>
      </c>
      <c r="T21" s="2" t="s">
        <v>100</v>
      </c>
      <c r="U21" s="1" t="s">
        <v>50</v>
      </c>
      <c r="V21" s="2"/>
      <c r="W21" s="17" t="s">
        <v>101</v>
      </c>
      <c r="X21" s="16" t="s">
        <v>102</v>
      </c>
    </row>
    <row r="22" spans="2:24" ht="15" customHeight="1" x14ac:dyDescent="0.2">
      <c r="B22" s="260" t="s">
        <v>103</v>
      </c>
      <c r="C22" s="261"/>
      <c r="D22" s="261"/>
      <c r="E22" s="43"/>
      <c r="F22" s="46">
        <f>F21</f>
        <v>8</v>
      </c>
      <c r="G22" s="15">
        <f>G20-62-62-25</f>
        <v>874.5</v>
      </c>
      <c r="H22" s="43" t="s">
        <v>83</v>
      </c>
      <c r="I22" s="43" t="s">
        <v>83</v>
      </c>
      <c r="J22" s="141" t="s">
        <v>250</v>
      </c>
      <c r="K22" s="232"/>
      <c r="L22" s="232"/>
      <c r="M22" s="232"/>
      <c r="N22" s="232"/>
      <c r="O22" s="232"/>
      <c r="P22" s="232"/>
      <c r="Q22" s="232"/>
      <c r="R22" s="232"/>
      <c r="V22" s="2"/>
    </row>
    <row r="23" spans="2:24" ht="15" customHeight="1" x14ac:dyDescent="0.2">
      <c r="B23" s="260" t="str">
        <f>B22</f>
        <v>REF. NEW MULTIPLE 1,2</v>
      </c>
      <c r="C23" s="261"/>
      <c r="D23" s="261"/>
      <c r="E23" s="43"/>
      <c r="F23" s="46">
        <f>F22</f>
        <v>8</v>
      </c>
      <c r="G23" s="15">
        <f>G21-62-62-25</f>
        <v>1776</v>
      </c>
      <c r="H23" s="43" t="s">
        <v>83</v>
      </c>
      <c r="I23" s="43" t="s">
        <v>83</v>
      </c>
      <c r="J23" s="141" t="s">
        <v>251</v>
      </c>
      <c r="K23" s="232"/>
      <c r="L23" s="232"/>
      <c r="M23" s="232"/>
      <c r="N23" s="232"/>
      <c r="O23" s="232"/>
      <c r="P23" s="232"/>
      <c r="Q23" s="232"/>
      <c r="R23" s="232"/>
      <c r="V23" s="13" t="s">
        <v>24</v>
      </c>
    </row>
    <row r="24" spans="2:24" ht="15" customHeight="1" x14ac:dyDescent="0.2">
      <c r="B24" s="277" t="s">
        <v>104</v>
      </c>
      <c r="C24" s="278"/>
      <c r="D24" s="279"/>
      <c r="E24" s="43"/>
      <c r="F24" s="46">
        <f>IF(G17&gt;=2300,4,0)</f>
        <v>0</v>
      </c>
      <c r="G24" s="15">
        <f>IF(F24&gt;=1,G21-62-62-25,0)</f>
        <v>0</v>
      </c>
      <c r="H24" s="43" t="s">
        <v>83</v>
      </c>
      <c r="I24" s="43" t="s">
        <v>83</v>
      </c>
      <c r="J24" s="141" t="s">
        <v>252</v>
      </c>
      <c r="K24" s="232"/>
      <c r="L24" s="232"/>
      <c r="M24" s="232"/>
      <c r="N24" s="232"/>
      <c r="O24" s="232"/>
      <c r="P24" s="232"/>
      <c r="Q24" s="232"/>
      <c r="R24" s="232"/>
      <c r="V24" s="13"/>
    </row>
    <row r="25" spans="2:24" ht="15" customHeight="1" x14ac:dyDescent="0.2">
      <c r="B25" s="260" t="s">
        <v>106</v>
      </c>
      <c r="C25" s="261"/>
      <c r="D25" s="261"/>
      <c r="E25" s="43"/>
      <c r="F25" s="46">
        <f>F20/2</f>
        <v>4</v>
      </c>
      <c r="G25" s="15">
        <f>G21-7</f>
        <v>1918</v>
      </c>
      <c r="H25" s="43" t="s">
        <v>83</v>
      </c>
      <c r="I25" s="43" t="s">
        <v>83</v>
      </c>
      <c r="J25" s="141" t="s">
        <v>107</v>
      </c>
      <c r="K25" s="232"/>
      <c r="L25" s="232"/>
      <c r="M25" s="232"/>
      <c r="N25" s="232"/>
      <c r="O25" s="232"/>
      <c r="P25" s="232"/>
      <c r="Q25" s="232"/>
      <c r="R25" s="232"/>
      <c r="S25" s="16" t="s">
        <v>108</v>
      </c>
      <c r="T25" s="16" t="s">
        <v>109</v>
      </c>
      <c r="V25" s="13" t="s">
        <v>31</v>
      </c>
    </row>
    <row r="26" spans="2:24" ht="15" customHeight="1" x14ac:dyDescent="0.2">
      <c r="B26" s="260" t="s">
        <v>110</v>
      </c>
      <c r="C26" s="261"/>
      <c r="D26" s="261"/>
      <c r="E26" s="43"/>
      <c r="F26" s="32">
        <f>F16</f>
        <v>2</v>
      </c>
      <c r="G26" s="15">
        <f>C12-48-48-1</f>
        <v>3903</v>
      </c>
      <c r="H26" s="43" t="s">
        <v>75</v>
      </c>
      <c r="I26" s="43" t="s">
        <v>75</v>
      </c>
      <c r="J26" s="141" t="s">
        <v>111</v>
      </c>
      <c r="K26" s="232"/>
      <c r="L26" s="232"/>
      <c r="M26" s="232"/>
      <c r="N26" s="232"/>
      <c r="O26" s="232"/>
      <c r="P26" s="232"/>
      <c r="Q26" s="232"/>
      <c r="R26" s="232"/>
      <c r="S26" s="16" t="s">
        <v>112</v>
      </c>
      <c r="T26" s="16" t="s">
        <v>113</v>
      </c>
      <c r="V26" s="13" t="s">
        <v>41</v>
      </c>
    </row>
    <row r="27" spans="2:24" ht="15" customHeight="1" x14ac:dyDescent="0.2">
      <c r="B27" s="260" t="str">
        <f>VLOOKUP(C33,O2:S16,5,0)</f>
        <v>JUNQUILLO PARA TERMOPANEL 18-20 MM</v>
      </c>
      <c r="C27" s="261"/>
      <c r="D27" s="261"/>
      <c r="E27" s="43"/>
      <c r="F27" s="251">
        <f>F20</f>
        <v>8</v>
      </c>
      <c r="G27" s="15">
        <f>G20-62-62-5</f>
        <v>894.5</v>
      </c>
      <c r="H27" s="244" t="s">
        <v>75</v>
      </c>
      <c r="I27" s="244" t="s">
        <v>75</v>
      </c>
      <c r="J27" s="141" t="s">
        <v>250</v>
      </c>
      <c r="S27" s="16" t="s">
        <v>114</v>
      </c>
      <c r="T27" s="16" t="s">
        <v>115</v>
      </c>
    </row>
    <row r="28" spans="2:24" ht="15" customHeight="1" x14ac:dyDescent="0.2">
      <c r="B28" s="374" t="str">
        <f>B27</f>
        <v>JUNQUILLO PARA TERMOPANEL 18-20 MM</v>
      </c>
      <c r="C28" s="375"/>
      <c r="D28" s="375"/>
      <c r="E28" s="15"/>
      <c r="F28" s="251">
        <f>F27</f>
        <v>8</v>
      </c>
      <c r="G28" s="15">
        <f>G21-62-62-5</f>
        <v>1796</v>
      </c>
      <c r="H28" s="244" t="s">
        <v>75</v>
      </c>
      <c r="I28" s="244" t="s">
        <v>75</v>
      </c>
      <c r="J28" s="141" t="s">
        <v>251</v>
      </c>
      <c r="S28" s="16" t="s">
        <v>116</v>
      </c>
      <c r="T28" s="16" t="s">
        <v>117</v>
      </c>
    </row>
    <row r="29" spans="2:24" ht="15" customHeight="1" thickBot="1" x14ac:dyDescent="0.3">
      <c r="B29" s="306" t="s">
        <v>253</v>
      </c>
      <c r="C29" s="307"/>
      <c r="D29" s="307"/>
      <c r="E29" s="129"/>
      <c r="F29" s="184">
        <f>H12</f>
        <v>1</v>
      </c>
      <c r="G29" s="185">
        <f>G21-5</f>
        <v>1920</v>
      </c>
      <c r="H29" s="252" t="s">
        <v>83</v>
      </c>
      <c r="I29" s="252" t="s">
        <v>83</v>
      </c>
      <c r="J29" s="130" t="s">
        <v>254</v>
      </c>
      <c r="S29" s="17" t="s">
        <v>118</v>
      </c>
      <c r="T29" s="16" t="s">
        <v>119</v>
      </c>
    </row>
    <row r="30" spans="2:24" ht="15" customHeight="1" thickBot="1" x14ac:dyDescent="0.3">
      <c r="G30" s="180"/>
      <c r="H30" s="253"/>
      <c r="I30" s="253"/>
      <c r="S30" s="181"/>
      <c r="T30" s="182"/>
    </row>
    <row r="31" spans="2:24" ht="18" customHeight="1" thickBot="1" x14ac:dyDescent="0.25">
      <c r="B31" s="117" t="str">
        <f>G10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4" ht="18" customHeight="1" x14ac:dyDescent="0.2">
      <c r="B32" s="120" t="s">
        <v>120</v>
      </c>
      <c r="C32" s="47" t="s">
        <v>121</v>
      </c>
      <c r="D32" s="48"/>
      <c r="E32" s="48"/>
      <c r="F32" s="49"/>
      <c r="G32" s="42" t="s">
        <v>122</v>
      </c>
      <c r="H32" s="42" t="s">
        <v>123</v>
      </c>
      <c r="I32" s="42" t="s">
        <v>124</v>
      </c>
      <c r="J32" s="121" t="s">
        <v>125</v>
      </c>
      <c r="S32" s="16" t="s">
        <v>126</v>
      </c>
      <c r="T32" s="16" t="s">
        <v>127</v>
      </c>
      <c r="V32" s="1"/>
      <c r="X32" s="13"/>
    </row>
    <row r="33" spans="1:24" ht="18" customHeight="1" thickBot="1" x14ac:dyDescent="0.25">
      <c r="B33" s="140" t="str">
        <f>H10</f>
        <v>18 mm   -    5 inc+8+5 inc</v>
      </c>
      <c r="C33" s="143" t="str">
        <f>VLOOKUP(H10,L2:O16,4,0)</f>
        <v>Termopanel 5 mm Incoloro + 8 mm + 5 mm Incoloro</v>
      </c>
      <c r="D33" s="144"/>
      <c r="E33" s="144"/>
      <c r="F33" s="145"/>
      <c r="G33" s="123">
        <f>G27-8</f>
        <v>886.5</v>
      </c>
      <c r="H33" s="123">
        <f>G28-8</f>
        <v>1788</v>
      </c>
      <c r="I33" s="124">
        <f>4*H12</f>
        <v>4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16" t="s">
        <v>129</v>
      </c>
      <c r="T33" s="16" t="s">
        <v>130</v>
      </c>
      <c r="V33" s="1"/>
      <c r="X33" s="13"/>
    </row>
    <row r="34" spans="1:24" ht="18" customHeight="1" x14ac:dyDescent="0.2">
      <c r="S34" s="16" t="s">
        <v>131</v>
      </c>
      <c r="T34" s="16" t="s">
        <v>132</v>
      </c>
      <c r="V34" s="1"/>
      <c r="X34" s="13"/>
    </row>
    <row r="35" spans="1:24" ht="18" customHeight="1" thickBot="1" x14ac:dyDescent="0.25">
      <c r="B35" s="2"/>
      <c r="C35" s="2"/>
      <c r="D35" s="2"/>
      <c r="E35" s="2"/>
      <c r="F35" s="2"/>
      <c r="G35" s="2"/>
      <c r="H35" s="2"/>
      <c r="I35" s="2"/>
      <c r="J35" s="2"/>
      <c r="S35" s="16" t="s">
        <v>255</v>
      </c>
      <c r="T35" s="16" t="s">
        <v>256</v>
      </c>
    </row>
    <row r="36" spans="1:24" ht="18" customHeight="1" thickBot="1" x14ac:dyDescent="0.25">
      <c r="B36" s="229"/>
      <c r="C36" s="226" t="s">
        <v>66</v>
      </c>
      <c r="D36" s="223"/>
      <c r="E36" s="223"/>
      <c r="F36" s="224" t="s">
        <v>67</v>
      </c>
      <c r="G36" s="207" t="s">
        <v>133</v>
      </c>
      <c r="H36" s="262" t="s">
        <v>134</v>
      </c>
      <c r="I36" s="263"/>
      <c r="J36" s="116" t="s">
        <v>124</v>
      </c>
      <c r="S36" s="16" t="s">
        <v>140</v>
      </c>
      <c r="T36" s="16" t="s">
        <v>141</v>
      </c>
    </row>
    <row r="37" spans="1:24" ht="18" customHeight="1" x14ac:dyDescent="0.2">
      <c r="B37" s="208"/>
      <c r="C37" s="41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1800MM</v>
      </c>
      <c r="D37" s="84"/>
      <c r="E37" s="41"/>
      <c r="F37" s="126">
        <f>H12*3</f>
        <v>3</v>
      </c>
      <c r="G37" s="219" t="s">
        <v>138</v>
      </c>
      <c r="H37" s="284" t="s">
        <v>139</v>
      </c>
      <c r="I37" s="284"/>
      <c r="J37" s="142">
        <f>F40*2</f>
        <v>16</v>
      </c>
      <c r="S37" s="16" t="s">
        <v>144</v>
      </c>
      <c r="T37" s="16" t="s">
        <v>145</v>
      </c>
    </row>
    <row r="38" spans="1:24" ht="18" customHeight="1" x14ac:dyDescent="0.2">
      <c r="B38" s="195"/>
      <c r="C38" s="41" t="str">
        <f>IF(AND(H13&gt;=0,H13&lt;=60),'Hoja1 (2)'!D5,IF(AND(H13&gt;=60.1,H13&lt;=120),'Hoja1 (2)'!D6,IF(AND(H13&gt;=120.1,H13&lt;=230),'Hoja1 (2)'!D3,)))</f>
        <v>CARRO CELSUS 120 KG REGULABLE</v>
      </c>
      <c r="D38" s="41"/>
      <c r="E38" s="41"/>
      <c r="F38" s="126">
        <f>H12*8</f>
        <v>8</v>
      </c>
      <c r="G38" s="214" t="s">
        <v>142</v>
      </c>
      <c r="H38" s="270" t="s">
        <v>143</v>
      </c>
      <c r="I38" s="270"/>
      <c r="J38" s="131">
        <f>IF(C37='Hoja1 (2)'!A10,2*'Dobleriel S75 simetrica hoja 80'!F36,IF(C37='Hoja1 (2)'!A11,4*'Dobleriel S75 simetrica hoja 80'!F36,IF(C37='Hoja1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S38" s="16" t="s">
        <v>148</v>
      </c>
      <c r="T38" s="16" t="s">
        <v>149</v>
      </c>
    </row>
    <row r="39" spans="1:24" ht="18" customHeight="1" x14ac:dyDescent="0.2">
      <c r="B39" s="208"/>
      <c r="C39" s="41" t="str">
        <f>IF(H9='Hoja1 (2)'!X3,'Hoja1 (2)'!B3,IF(H9='Hoja1 (2)'!X4,'Hoja1 (2)'!B4,IF(H9='Hoja1 (2)'!X5,'Hoja1 (2)'!B4,IF(H9='Hoja1 (2)'!X6,'Hoja1 (2)'!B5,IF(H9='Hoja1 (2)'!X7,'Hoja1 (2)'!B5)))))</f>
        <v>MANILLA ALUMINIO VENTANA NEGRO</v>
      </c>
      <c r="D39" s="41"/>
      <c r="E39" s="41"/>
      <c r="F39" s="126">
        <f>F37</f>
        <v>3</v>
      </c>
      <c r="G39" s="214" t="s">
        <v>146</v>
      </c>
      <c r="H39" s="270" t="s">
        <v>147</v>
      </c>
      <c r="I39" s="270"/>
      <c r="J39" s="132">
        <f>((B8/250)*2+(C12/250)*2+(B8/250)*8+(C12/250)*2)*H12</f>
        <v>144</v>
      </c>
      <c r="S39" s="16" t="s">
        <v>153</v>
      </c>
      <c r="T39" s="16" t="s">
        <v>154</v>
      </c>
    </row>
    <row r="40" spans="1:24" ht="18" customHeight="1" x14ac:dyDescent="0.25">
      <c r="B40" s="208"/>
      <c r="C40" s="206" t="s">
        <v>150</v>
      </c>
      <c r="D40" s="41"/>
      <c r="E40" s="41"/>
      <c r="F40" s="126">
        <f>IF(C37='Hoja1 (2)'!A10,1*2*H12,IF(C37='Hoja1 (2)'!A11,2*2*H12,IF(C37='Hoja1 (2)'!A12,2*2*H12,IF(C37='Hoja1 (2)'!A13,2*2*H12,IF(C37='Hoja1 (2)'!A14,3*2*H12,IF(C37='Hoja1 (2)'!A15,3*2*H12,IF(C37='Hoja1 (2)'!A16,3*2*H12,IF(C37='Hoja1 (2)'!A17,4*2*H12,IF(C37='Hoja1 (2)'!A18,4*2*H12,IF(C37='Hoja1 (2)'!A19,4*2*H12))))))))))</f>
        <v>8</v>
      </c>
      <c r="G40" s="214" t="s">
        <v>151</v>
      </c>
      <c r="H40" s="270" t="s">
        <v>152</v>
      </c>
      <c r="I40" s="270"/>
      <c r="J40" s="132">
        <f>((B8*2)/500+(C12*2)/500)*H12</f>
        <v>24</v>
      </c>
      <c r="S40" s="17" t="s">
        <v>158</v>
      </c>
      <c r="T40" s="16" t="s">
        <v>159</v>
      </c>
    </row>
    <row r="41" spans="1:24" ht="18" customHeight="1" x14ac:dyDescent="0.2">
      <c r="B41" s="208"/>
      <c r="C41" s="41" t="s">
        <v>155</v>
      </c>
      <c r="D41" s="41"/>
      <c r="E41" s="41"/>
      <c r="F41" s="126">
        <f>H12*2</f>
        <v>2</v>
      </c>
      <c r="G41" s="214" t="s">
        <v>156</v>
      </c>
      <c r="H41" s="270" t="s">
        <v>157</v>
      </c>
      <c r="I41" s="270"/>
      <c r="J41" s="131">
        <f>F42*2</f>
        <v>8</v>
      </c>
    </row>
    <row r="42" spans="1:24" ht="18" customHeight="1" x14ac:dyDescent="0.2">
      <c r="B42" s="208"/>
      <c r="C42" s="41" t="str">
        <f>IF(H9='Hoja1 (2)'!X3,'Hoja1 (2)'!J7,IF(H9='Hoja1 (2)'!X4,'Hoja1 (2)'!J8,IF(H9='Hoja1 (2)'!X5,'Hoja1 (2)'!J8,IF(H9='Hoja1 (2)'!X6,'Hoja1 (2)'!J9,IF(H9='Hoja1 (2)'!X7,'Hoja1 (2)'!J9)))))</f>
        <v>TOPE ESTANCO S75 WINHOUSE GRIS</v>
      </c>
      <c r="D42" s="41"/>
      <c r="E42" s="41"/>
      <c r="F42" s="126">
        <f>H12*4</f>
        <v>4</v>
      </c>
      <c r="G42" s="216" t="s">
        <v>160</v>
      </c>
      <c r="H42" s="271" t="s">
        <v>157</v>
      </c>
      <c r="I42" s="271"/>
      <c r="J42" s="203">
        <f>IF(C38='Hoja1 (2)'!D4,'Dobleriel S75 simetrica hoja 80'!H13*8*5,'Dobleriel S75 simetrica hoja 80'!H13*8*2)</f>
        <v>16</v>
      </c>
      <c r="S42" s="16" t="s">
        <v>163</v>
      </c>
      <c r="T42" s="16" t="s">
        <v>164</v>
      </c>
    </row>
    <row r="43" spans="1:24" ht="18" customHeight="1" x14ac:dyDescent="0.2">
      <c r="B43" s="208"/>
      <c r="C43" s="41" t="str">
        <f>IF(H9='Hoja1 (2)'!X3,'Hoja1 (2)'!J12,IF(H9='Hoja1 (2)'!X4,'Hoja1 (2)'!J13,IF(H9='Hoja1 (2)'!X5,'Hoja1 (2)'!J14,IF(H9='Hoja1 (2)'!X6,'Hoja1 (2)'!J16,IF(H9='Hoja1 (2)'!X7,'Hoja1 (2)'!J15)))))</f>
        <v>TAPA DESAGÜE GRIS</v>
      </c>
      <c r="D43" s="41"/>
      <c r="E43" s="41"/>
      <c r="F43" s="126">
        <f>IF(AND(C12&gt;=0,C12&lt;=800),H12*2,IF(AND(C12&gt;=801,C12&lt;=1500),H12*3,IF(C12&gt;=1501,H12*4)))</f>
        <v>4</v>
      </c>
      <c r="G43" s="214" t="s">
        <v>161</v>
      </c>
      <c r="H43" s="288" t="s">
        <v>162</v>
      </c>
      <c r="I43" s="288"/>
      <c r="J43" s="131">
        <f>F41*2</f>
        <v>4</v>
      </c>
      <c r="S43" s="16" t="s">
        <v>167</v>
      </c>
      <c r="T43" s="16" t="s">
        <v>168</v>
      </c>
    </row>
    <row r="44" spans="1:24" ht="18" customHeight="1" x14ac:dyDescent="0.2">
      <c r="B44" s="208"/>
      <c r="C44" s="41" t="str">
        <f>IF(H9='Hoja1 (2)'!X3,'Hoja1 (2)'!J20,IF(H9='Hoja1 (2)'!X4,'Hoja1 (2)'!J21,IF(H9='Hoja1 (2)'!X5,'Hoja1 (2)'!J21,IF(H9='Hoja1 (2)'!X6,'Hoja1 (2)'!J24,IF(H9='Hoja1 (2)'!X7,'Hoja1 (2)'!J24)))))</f>
        <v>TAPA TORNILLO AMO 3 NEGRO</v>
      </c>
      <c r="D44" s="41"/>
      <c r="E44" s="41"/>
      <c r="F44" s="127">
        <f>J40</f>
        <v>24</v>
      </c>
      <c r="G44" s="214" t="s">
        <v>165</v>
      </c>
      <c r="H44" s="288" t="s">
        <v>166</v>
      </c>
      <c r="I44" s="288"/>
      <c r="J44" s="131">
        <f>F39*2</f>
        <v>6</v>
      </c>
      <c r="S44" s="16" t="s">
        <v>171</v>
      </c>
      <c r="T44" s="16" t="s">
        <v>172</v>
      </c>
    </row>
    <row r="45" spans="1:24" ht="18" customHeight="1" thickBot="1" x14ac:dyDescent="0.25">
      <c r="B45" s="208"/>
      <c r="C45" s="41" t="str">
        <f>IF(H9='Hoja1 (2)'!Q3,'Hoja1 (2)'!J28,'Hoja1 (2)'!J29)</f>
        <v xml:space="preserve">TOPE CORREDERA 90º NEGRO </v>
      </c>
      <c r="D45" s="41"/>
      <c r="E45" s="41"/>
      <c r="F45" s="126">
        <f>H12*4</f>
        <v>4</v>
      </c>
      <c r="G45" s="215" t="s">
        <v>169</v>
      </c>
      <c r="H45" s="257" t="s">
        <v>170</v>
      </c>
      <c r="I45" s="257"/>
      <c r="J45" s="202">
        <f>F45*1</f>
        <v>4</v>
      </c>
      <c r="S45" s="16" t="s">
        <v>174</v>
      </c>
      <c r="T45" s="16" t="s">
        <v>175</v>
      </c>
    </row>
    <row r="46" spans="1:24" ht="18" customHeight="1" x14ac:dyDescent="0.25">
      <c r="B46" s="208"/>
      <c r="C46" s="212" t="s">
        <v>173</v>
      </c>
      <c r="D46" s="41"/>
      <c r="E46" s="41"/>
      <c r="F46" s="126">
        <f>H12*4</f>
        <v>4</v>
      </c>
      <c r="S46" s="17" t="s">
        <v>178</v>
      </c>
      <c r="T46" s="16" t="s">
        <v>179</v>
      </c>
    </row>
    <row r="47" spans="1:24" ht="18" customHeight="1" x14ac:dyDescent="0.2">
      <c r="A47" s="280"/>
      <c r="B47" s="208"/>
      <c r="C47" s="209" t="s">
        <v>176</v>
      </c>
      <c r="D47" s="41" t="s">
        <v>177</v>
      </c>
      <c r="E47" s="41"/>
      <c r="F47" s="128">
        <f>(((B8*10)+(C12*16))*H12)/1000</f>
        <v>84</v>
      </c>
      <c r="S47" s="16" t="s">
        <v>180</v>
      </c>
      <c r="T47" s="16" t="s">
        <v>181</v>
      </c>
    </row>
    <row r="48" spans="1:24" ht="18" customHeight="1" x14ac:dyDescent="0.2">
      <c r="A48" s="280"/>
      <c r="B48" s="208"/>
      <c r="C48" s="41" t="str">
        <f>IF(H9='Hoja1 (2)'!X3,'Hoja1 (2)'!K4,IF(H9='Hoja1 (2)'!X4,'Hoja1 (2)'!K5,IF(H9='Hoja1 (2)'!X5,'Hoja1 (2)'!K6,IF(H9='Hoja1 (2)'!X6,'Hoja1 (2)'!K7,IF(H9='Hoja1 (2)'!X7,'Hoja1 (2)'!K3)))))</f>
        <v>SILICONA ANTRACITA 290ML</v>
      </c>
      <c r="D48" s="41" t="s">
        <v>137</v>
      </c>
      <c r="E48" s="41"/>
      <c r="F48" s="127">
        <f>((((B8*C12)/10000)*2)*0.7)/300*H12</f>
        <v>3.7333333333333334</v>
      </c>
      <c r="S48" s="16" t="s">
        <v>183</v>
      </c>
      <c r="T48" s="16" t="s">
        <v>184</v>
      </c>
    </row>
    <row r="49" spans="1:20" ht="19.399999999999999" customHeight="1" x14ac:dyDescent="0.2">
      <c r="A49" s="280"/>
      <c r="B49" s="208"/>
      <c r="C49" s="210" t="s">
        <v>182</v>
      </c>
      <c r="D49" s="41" t="s">
        <v>137</v>
      </c>
      <c r="E49" s="41"/>
      <c r="F49" s="126">
        <f>H12*24</f>
        <v>24</v>
      </c>
      <c r="S49" s="16" t="s">
        <v>186</v>
      </c>
      <c r="T49" s="16" t="s">
        <v>187</v>
      </c>
    </row>
    <row r="50" spans="1:20" ht="18" customHeight="1" x14ac:dyDescent="0.2">
      <c r="A50" s="280"/>
      <c r="B50" s="208"/>
      <c r="C50" s="211" t="s">
        <v>185</v>
      </c>
      <c r="D50" s="41" t="s">
        <v>137</v>
      </c>
      <c r="E50" s="41"/>
      <c r="F50" s="126">
        <f>F49*1</f>
        <v>24</v>
      </c>
      <c r="S50" s="16" t="s">
        <v>189</v>
      </c>
      <c r="T50" s="16" t="s">
        <v>190</v>
      </c>
    </row>
    <row r="51" spans="1:20" ht="17.5" customHeight="1" x14ac:dyDescent="0.25">
      <c r="A51" s="280"/>
      <c r="B51" s="208"/>
      <c r="C51" s="209" t="s">
        <v>188</v>
      </c>
      <c r="D51" s="41" t="s">
        <v>137</v>
      </c>
      <c r="E51" s="41"/>
      <c r="F51" s="126">
        <f>1*F49</f>
        <v>24</v>
      </c>
      <c r="S51" s="17" t="s">
        <v>192</v>
      </c>
      <c r="T51" s="16" t="s">
        <v>193</v>
      </c>
    </row>
    <row r="52" spans="1:20" ht="15" customHeight="1" x14ac:dyDescent="0.2">
      <c r="A52" s="280"/>
      <c r="B52" s="208"/>
      <c r="C52" s="209" t="s">
        <v>191</v>
      </c>
      <c r="D52" s="41" t="s">
        <v>137</v>
      </c>
      <c r="E52" s="41"/>
      <c r="F52" s="126">
        <f>1*F49</f>
        <v>24</v>
      </c>
      <c r="S52" s="16" t="s">
        <v>194</v>
      </c>
      <c r="T52" s="16" t="s">
        <v>195</v>
      </c>
    </row>
    <row r="53" spans="1:20" ht="15.65" customHeight="1" x14ac:dyDescent="0.2">
      <c r="B53" s="208"/>
      <c r="C53" s="41" t="str">
        <f>IF(C38='Hoja1 (2)'!D5,'Dobleriel S75 cuatro hojas 80'!C56,IF('Dobleriel S75 cuatro hojas 80'!C38='Hoja1 (2)'!D6,'Dobleriel S75 cuatro hojas 80'!C56,IF('Dobleriel S75 cuatro hojas 80'!C38='Hoja1 (2)'!D3,'Dobleriel S75 cuatro hojas 80'!C57)))</f>
        <v>SUPLEMENTO CELSUS 16,5 MM.</v>
      </c>
      <c r="D53" s="41" t="s">
        <v>137</v>
      </c>
      <c r="E53" s="41"/>
      <c r="F53" s="126">
        <f>H12*8</f>
        <v>8</v>
      </c>
      <c r="S53" s="16" t="s">
        <v>197</v>
      </c>
      <c r="T53" s="16" t="s">
        <v>198</v>
      </c>
    </row>
    <row r="54" spans="1:20" ht="15" customHeight="1" thickBot="1" x14ac:dyDescent="0.25">
      <c r="B54" s="196"/>
      <c r="C54" s="129" t="s">
        <v>202</v>
      </c>
      <c r="D54" s="129" t="s">
        <v>137</v>
      </c>
      <c r="E54" s="129" t="s">
        <v>137</v>
      </c>
      <c r="F54" s="130">
        <f>2</f>
        <v>2</v>
      </c>
      <c r="S54" s="16" t="s">
        <v>200</v>
      </c>
      <c r="T54" s="16" t="s">
        <v>201</v>
      </c>
    </row>
    <row r="55" spans="1:20" ht="16.75" customHeight="1" thickBot="1" x14ac:dyDescent="0.25">
      <c r="B55" s="196"/>
      <c r="C55" s="129" t="s">
        <v>257</v>
      </c>
      <c r="D55" s="129" t="s">
        <v>137</v>
      </c>
      <c r="E55" s="129" t="s">
        <v>137</v>
      </c>
      <c r="F55" s="130">
        <f>H12*2</f>
        <v>2</v>
      </c>
      <c r="S55" s="16" t="s">
        <v>203</v>
      </c>
      <c r="T55" s="16" t="s">
        <v>204</v>
      </c>
    </row>
    <row r="56" spans="1:20" ht="18" hidden="1" customHeight="1" x14ac:dyDescent="0.25">
      <c r="C56" s="1" t="s">
        <v>196</v>
      </c>
      <c r="S56" s="17" t="s">
        <v>205</v>
      </c>
      <c r="T56" s="16" t="s">
        <v>206</v>
      </c>
    </row>
    <row r="57" spans="1:20" ht="16.75" hidden="1" customHeight="1" x14ac:dyDescent="0.2">
      <c r="C57" s="1" t="s">
        <v>221</v>
      </c>
    </row>
    <row r="58" spans="1:20" ht="17.5" customHeight="1" thickBot="1" x14ac:dyDescent="0.4">
      <c r="B58" s="196"/>
      <c r="C58" s="129" t="s">
        <v>222</v>
      </c>
      <c r="D58" s="129" t="s">
        <v>137</v>
      </c>
      <c r="E58" s="129" t="s">
        <v>137</v>
      </c>
      <c r="F58" s="130">
        <f>H12*8</f>
        <v>8</v>
      </c>
      <c r="T58"/>
    </row>
    <row r="59" spans="1:20" ht="130.75" customHeight="1" x14ac:dyDescent="0.35">
      <c r="T59"/>
    </row>
    <row r="60" spans="1:20" ht="128.5" customHeight="1" x14ac:dyDescent="0.35">
      <c r="T60"/>
    </row>
  </sheetData>
  <sheetProtection algorithmName="SHA-512" hashValue="RnJeZVP3DMpN4FNDS1qr8R0XHCQgM8Dx5RZzWydX2Je6qii6UPlKgW7R+x8/2oyt8hQM3AFJDMwgWSe6WhcZRw==" saltValue="kEl3aXgknudqKZnegSt/sQ==" spinCount="100000" sheet="1" objects="1" scenarios="1"/>
  <dataConsolidate/>
  <mergeCells count="35">
    <mergeCell ref="J2:J4"/>
    <mergeCell ref="H41:I41"/>
    <mergeCell ref="H42:I42"/>
    <mergeCell ref="B2:I2"/>
    <mergeCell ref="C4:C11"/>
    <mergeCell ref="G5:J5"/>
    <mergeCell ref="H7:I7"/>
    <mergeCell ref="H8:I8"/>
    <mergeCell ref="H9:I9"/>
    <mergeCell ref="H10:I10"/>
    <mergeCell ref="B25:D25"/>
    <mergeCell ref="B26:D26"/>
    <mergeCell ref="B27:D27"/>
    <mergeCell ref="H37:I37"/>
    <mergeCell ref="H38:I38"/>
    <mergeCell ref="B23:D23"/>
    <mergeCell ref="H43:I43"/>
    <mergeCell ref="H36:I36"/>
    <mergeCell ref="B28:D28"/>
    <mergeCell ref="B29:D29"/>
    <mergeCell ref="A47:A52"/>
    <mergeCell ref="H44:I44"/>
    <mergeCell ref="H45:I45"/>
    <mergeCell ref="H15:I15"/>
    <mergeCell ref="H39:I39"/>
    <mergeCell ref="H40:I40"/>
    <mergeCell ref="B15:E15"/>
    <mergeCell ref="B16:D16"/>
    <mergeCell ref="B17:D17"/>
    <mergeCell ref="B18:D18"/>
    <mergeCell ref="B19:D19"/>
    <mergeCell ref="B20:D20"/>
    <mergeCell ref="B21:D21"/>
    <mergeCell ref="B22:D22"/>
    <mergeCell ref="B24:D24"/>
  </mergeCells>
  <conditionalFormatting sqref="S25:S28">
    <cfRule type="duplicateValues" dxfId="55" priority="29"/>
    <cfRule type="duplicateValues" dxfId="54" priority="31"/>
    <cfRule type="duplicateValues" dxfId="53" priority="32"/>
  </conditionalFormatting>
  <conditionalFormatting sqref="S32:S35">
    <cfRule type="duplicateValues" dxfId="52" priority="23"/>
    <cfRule type="duplicateValues" dxfId="51" priority="25"/>
  </conditionalFormatting>
  <conditionalFormatting sqref="S32:S39">
    <cfRule type="duplicateValues" dxfId="50" priority="26"/>
  </conditionalFormatting>
  <conditionalFormatting sqref="S42:S45 S47:S50 S52:S55">
    <cfRule type="duplicateValues" dxfId="49" priority="20"/>
  </conditionalFormatting>
  <conditionalFormatting sqref="S42:S45">
    <cfRule type="duplicateValues" dxfId="48" priority="17"/>
    <cfRule type="duplicateValues" dxfId="47" priority="19"/>
  </conditionalFormatting>
  <conditionalFormatting sqref="S59:S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{CB35C9F3-93F8-47E4-9E5E-DB4B9DCE6F1D}</x14:id>
        </ext>
      </extLst>
    </cfRule>
  </conditionalFormatting>
  <conditionalFormatting sqref="S59:T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{402E7F45-37A8-4DC8-A89D-F77517DF9466}</x14:id>
        </ext>
      </extLst>
    </cfRule>
  </conditionalFormatting>
  <conditionalFormatting sqref="T25:T30">
    <cfRule type="duplicateValues" dxfId="46" priority="28"/>
    <cfRule type="duplicateValues" dxfId="45" priority="30"/>
    <cfRule type="duplicateValues" dxfId="44" priority="33"/>
  </conditionalFormatting>
  <conditionalFormatting sqref="T32:T40">
    <cfRule type="duplicateValues" dxfId="43" priority="54"/>
  </conditionalFormatting>
  <conditionalFormatting sqref="T42:T56">
    <cfRule type="duplicateValues" dxfId="42" priority="16"/>
    <cfRule type="duplicateValues" dxfId="41" priority="18"/>
    <cfRule type="duplicateValues" dxfId="40" priority="21"/>
  </conditionalFormatting>
  <conditionalFormatting sqref="T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{AE8DAC89-26BA-403F-BF74-6ABCF76A890C}</x14:id>
        </ext>
      </extLst>
    </cfRule>
  </conditionalFormatting>
  <conditionalFormatting sqref="W17:W20">
    <cfRule type="duplicateValues" dxfId="39" priority="11"/>
    <cfRule type="duplicateValues" dxfId="38" priority="13"/>
    <cfRule type="duplicateValues" dxfId="37" priority="14"/>
  </conditionalFormatting>
  <conditionalFormatting sqref="X17:X21">
    <cfRule type="duplicateValues" dxfId="36" priority="10"/>
    <cfRule type="duplicateValues" dxfId="35" priority="12"/>
    <cfRule type="duplicateValues" dxfId="34" priority="15"/>
  </conditionalFormatting>
  <dataValidations disablePrompts="1" count="1">
    <dataValidation type="list" allowBlank="1" showInputMessage="1" showErrorMessage="1" sqref="H10:I10" xr:uid="{00000000-0002-0000-0900-000000000000}">
      <formula1>$L$2:$L$16</formula1>
    </dataValidation>
  </dataValidations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  <ignoredErrors>
    <ignoredError sqref="F20" 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35C9F3-93F8-47E4-9E5E-DB4B9DCE6F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S59:S60</xm:sqref>
        </x14:conditionalFormatting>
        <x14:conditionalFormatting xmlns:xm="http://schemas.microsoft.com/office/excel/2006/main">
          <x14:cfRule type="dataBar" id="{402E7F45-37A8-4DC8-A89D-F77517DF94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S59:T60</xm:sqref>
        </x14:conditionalFormatting>
        <x14:conditionalFormatting xmlns:xm="http://schemas.microsoft.com/office/excel/2006/main">
          <x14:cfRule type="dataBar" id="{AE8DAC89-26BA-403F-BF74-6ABCF76A89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900-000001000000}">
          <x14:formula1>
            <xm:f>'Hoja1 (2)'!$X$3:$X$7</xm:f>
          </x14:formula1>
          <xm:sqref>H9:I9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0"/>
  <sheetViews>
    <sheetView zoomScaleNormal="100" workbookViewId="0">
      <selection activeCell="G21" sqref="G21"/>
    </sheetView>
  </sheetViews>
  <sheetFormatPr baseColWidth="10" defaultColWidth="11.453125" defaultRowHeight="10" x14ac:dyDescent="0.2"/>
  <cols>
    <col min="1" max="1" width="4.1796875" style="2" customWidth="1"/>
    <col min="2" max="2" width="19.1796875" style="1" customWidth="1"/>
    <col min="3" max="3" width="42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3.54296875" style="1" customWidth="1"/>
    <col min="8" max="8" width="9.1796875" style="1" customWidth="1"/>
    <col min="9" max="9" width="12" style="1" customWidth="1"/>
    <col min="10" max="10" width="21.453125" style="1" customWidth="1"/>
    <col min="11" max="19" width="17.54296875" style="2" hidden="1" customWidth="1"/>
    <col min="20" max="20" width="11.81640625" style="2" hidden="1" customWidth="1"/>
    <col min="21" max="21" width="41.81640625" style="2" hidden="1" customWidth="1"/>
    <col min="22" max="22" width="26.81640625" style="2" hidden="1" customWidth="1"/>
    <col min="23" max="23" width="32.54296875" style="5" hidden="1" customWidth="1"/>
    <col min="24" max="24" width="22.453125" style="2" hidden="1" customWidth="1"/>
    <col min="25" max="25" width="26.81640625" style="2" hidden="1" customWidth="1"/>
    <col min="26" max="27" width="11.453125" style="2" hidden="1" customWidth="1"/>
    <col min="28" max="28" width="37.1796875" style="2" customWidth="1"/>
    <col min="29" max="31" width="11.453125" style="2" customWidth="1"/>
    <col min="32" max="16384" width="11.453125" style="2"/>
  </cols>
  <sheetData>
    <row r="1" spans="2:27" ht="21" customHeight="1" thickBot="1" x14ac:dyDescent="0.25"/>
    <row r="2" spans="2:27" ht="39" customHeight="1" thickBot="1" x14ac:dyDescent="0.25">
      <c r="B2" s="353" t="s">
        <v>2</v>
      </c>
      <c r="C2" s="354"/>
      <c r="D2" s="354"/>
      <c r="E2" s="354"/>
      <c r="F2" s="354"/>
      <c r="G2" s="354"/>
      <c r="H2" s="360"/>
      <c r="I2" s="320"/>
      <c r="J2" s="290"/>
      <c r="M2" s="50" t="str">
        <f>H10</f>
        <v>22 mm   -    6 inc+10+6 lam</v>
      </c>
    </row>
    <row r="3" spans="2:27" ht="22" x14ac:dyDescent="0.2">
      <c r="B3" s="146"/>
      <c r="C3" s="178"/>
      <c r="D3" s="179"/>
      <c r="E3" s="147"/>
      <c r="F3" s="147"/>
      <c r="G3" s="147"/>
      <c r="H3" s="147"/>
      <c r="I3" s="321"/>
      <c r="J3" s="292"/>
      <c r="K3" s="2">
        <v>3.7</v>
      </c>
      <c r="L3" s="18" t="str">
        <f>N3&amp;" -    "&amp;M3&amp;" "&amp;"mm"</f>
        <v>Semilla -    3.7 mm</v>
      </c>
      <c r="M3" s="1" t="s">
        <v>3</v>
      </c>
      <c r="N3" s="1" t="s">
        <v>4</v>
      </c>
      <c r="O3" s="2" t="s">
        <v>5</v>
      </c>
      <c r="Q3" s="1" t="s">
        <v>6</v>
      </c>
      <c r="R3" s="1"/>
      <c r="S3" s="18" t="s">
        <v>7</v>
      </c>
    </row>
    <row r="4" spans="2:27" ht="15" customHeight="1" thickBot="1" x14ac:dyDescent="0.25">
      <c r="B4" s="95"/>
      <c r="C4" s="298"/>
      <c r="I4" s="321"/>
      <c r="J4" s="292"/>
      <c r="K4" s="2">
        <v>4</v>
      </c>
      <c r="L4" s="18" t="str">
        <f>M4&amp;" "&amp;"mm"&amp;"     -    "&amp;N4</f>
        <v>4 mm     -    Incoloro</v>
      </c>
      <c r="M4" s="1">
        <v>4</v>
      </c>
      <c r="N4" s="1" t="s">
        <v>8</v>
      </c>
      <c r="O4" s="2" t="s">
        <v>9</v>
      </c>
      <c r="Q4" s="1" t="s">
        <v>6</v>
      </c>
      <c r="R4" s="1"/>
      <c r="S4" s="18" t="s">
        <v>10</v>
      </c>
    </row>
    <row r="5" spans="2:27" ht="21" customHeight="1" thickBot="1" x14ac:dyDescent="0.25">
      <c r="B5" s="95"/>
      <c r="C5" s="298"/>
      <c r="G5" s="351" t="s">
        <v>13</v>
      </c>
      <c r="H5" s="379"/>
      <c r="I5" s="379"/>
      <c r="J5" s="380"/>
      <c r="K5" s="2">
        <v>4</v>
      </c>
      <c r="L5" s="18" t="str">
        <f>M5&amp;" "&amp;"mm"&amp;"     -    "&amp;N5</f>
        <v>4 mm     -    Saten</v>
      </c>
      <c r="M5" s="1">
        <v>4</v>
      </c>
      <c r="N5" s="1" t="s">
        <v>11</v>
      </c>
      <c r="O5" s="2" t="s">
        <v>12</v>
      </c>
      <c r="Q5" s="1" t="s">
        <v>6</v>
      </c>
      <c r="R5" s="1"/>
      <c r="S5" s="18" t="s">
        <v>10</v>
      </c>
      <c r="W5" s="12" t="s">
        <v>15</v>
      </c>
      <c r="X5" s="2" t="s">
        <v>16</v>
      </c>
      <c r="Y5" s="2" t="s">
        <v>17</v>
      </c>
      <c r="Z5" s="2" t="s">
        <v>18</v>
      </c>
      <c r="AA5" s="2" t="s">
        <v>19</v>
      </c>
    </row>
    <row r="6" spans="2:27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2">
        <v>5</v>
      </c>
      <c r="L6" s="18" t="str">
        <f>M6&amp;" "&amp;"mm"&amp;"     -    "&amp;N6</f>
        <v>5 mm     -    Incoloro</v>
      </c>
      <c r="M6" s="1">
        <v>5</v>
      </c>
      <c r="N6" s="1" t="s">
        <v>8</v>
      </c>
      <c r="O6" s="2" t="s">
        <v>14</v>
      </c>
      <c r="Q6" s="1" t="s">
        <v>6</v>
      </c>
      <c r="R6" s="1"/>
      <c r="S6" s="18" t="s">
        <v>10</v>
      </c>
      <c r="V6" s="13" t="s">
        <v>24</v>
      </c>
      <c r="W6" s="12" t="s">
        <v>25</v>
      </c>
      <c r="X6" s="2" t="s">
        <v>26</v>
      </c>
      <c r="Y6" s="2">
        <v>80</v>
      </c>
      <c r="Z6" s="2">
        <v>62</v>
      </c>
      <c r="AA6" s="2">
        <v>4</v>
      </c>
    </row>
    <row r="7" spans="2:27" ht="15" customHeight="1" x14ac:dyDescent="0.2">
      <c r="B7" s="95"/>
      <c r="C7" s="298"/>
      <c r="D7" s="96"/>
      <c r="E7" s="96"/>
      <c r="G7" s="51" t="s">
        <v>27</v>
      </c>
      <c r="H7" s="303" t="str">
        <f>C12&amp;"  "&amp;"mm"&amp;" "&amp;"x"&amp;" "&amp;B8&amp;" "&amp;"mm"</f>
        <v>2000  mm x 2500 mm</v>
      </c>
      <c r="I7" s="303"/>
      <c r="J7" s="99"/>
      <c r="K7" s="2">
        <v>6</v>
      </c>
      <c r="L7" s="18" t="str">
        <f>M7&amp;" "&amp;"mm"&amp;"     -    "&amp;N7</f>
        <v>6 mm     -    Incoloro</v>
      </c>
      <c r="M7" s="1">
        <v>6</v>
      </c>
      <c r="N7" s="1" t="s">
        <v>8</v>
      </c>
      <c r="O7" s="2" t="s">
        <v>22</v>
      </c>
      <c r="Q7" s="1" t="s">
        <v>6</v>
      </c>
      <c r="R7" s="1"/>
      <c r="S7" s="18" t="s">
        <v>10</v>
      </c>
      <c r="V7" s="13" t="s">
        <v>31</v>
      </c>
      <c r="W7" s="12" t="s">
        <v>32</v>
      </c>
      <c r="X7" s="2" t="s">
        <v>33</v>
      </c>
      <c r="Y7" s="2">
        <v>98</v>
      </c>
      <c r="Z7" s="2">
        <v>80</v>
      </c>
    </row>
    <row r="8" spans="2:27" ht="21" customHeight="1" x14ac:dyDescent="0.2">
      <c r="B8" s="98">
        <v>2500</v>
      </c>
      <c r="C8" s="298"/>
      <c r="D8" s="96"/>
      <c r="E8" s="96"/>
      <c r="F8" s="2"/>
      <c r="G8" s="51" t="s">
        <v>34</v>
      </c>
      <c r="H8" s="304" t="s">
        <v>207</v>
      </c>
      <c r="I8" s="304"/>
      <c r="J8" s="99"/>
      <c r="K8" s="2">
        <v>6</v>
      </c>
      <c r="L8" s="18" t="str">
        <f>M8&amp;" "&amp;"mm"&amp;"     -    "&amp;N8</f>
        <v>6 mm     -    Laminado</v>
      </c>
      <c r="M8" s="1">
        <v>6</v>
      </c>
      <c r="N8" s="1" t="s">
        <v>28</v>
      </c>
      <c r="O8" s="2" t="s">
        <v>29</v>
      </c>
      <c r="Q8" s="1" t="s">
        <v>6</v>
      </c>
      <c r="R8" s="1"/>
      <c r="S8" s="18" t="s">
        <v>10</v>
      </c>
      <c r="V8" s="13" t="s">
        <v>41</v>
      </c>
      <c r="W8" s="12" t="s">
        <v>42</v>
      </c>
    </row>
    <row r="9" spans="2:27" ht="21" customHeight="1" x14ac:dyDescent="0.2">
      <c r="B9" s="95"/>
      <c r="C9" s="298"/>
      <c r="D9" s="96"/>
      <c r="E9" s="96"/>
      <c r="G9" s="51" t="s">
        <v>43</v>
      </c>
      <c r="H9" s="341" t="s">
        <v>32</v>
      </c>
      <c r="I9" s="341"/>
      <c r="J9" s="100"/>
      <c r="K9" s="2">
        <v>8</v>
      </c>
      <c r="L9" s="18" t="str">
        <f t="shared" ref="L9:L16" si="0">M9&amp;" "&amp;"mm"&amp;"   -    "&amp;N9</f>
        <v>18 mm   -    4 inc+10+4 inc</v>
      </c>
      <c r="M9" s="1">
        <v>18</v>
      </c>
      <c r="N9" s="1" t="s">
        <v>36</v>
      </c>
      <c r="O9" s="2" t="s">
        <v>37</v>
      </c>
      <c r="Q9" s="1" t="s">
        <v>38</v>
      </c>
      <c r="R9" s="1"/>
      <c r="S9" s="18" t="s">
        <v>39</v>
      </c>
      <c r="W9" s="12" t="s">
        <v>44</v>
      </c>
    </row>
    <row r="10" spans="2:27" ht="21" customHeight="1" x14ac:dyDescent="0.2">
      <c r="B10" s="101"/>
      <c r="C10" s="298"/>
      <c r="D10" s="96"/>
      <c r="E10" s="96"/>
      <c r="G10" s="51" t="s">
        <v>51</v>
      </c>
      <c r="H10" s="295" t="s">
        <v>71</v>
      </c>
      <c r="I10" s="295"/>
      <c r="J10" s="102"/>
      <c r="K10" s="2">
        <v>8</v>
      </c>
      <c r="L10" s="18" t="str">
        <f t="shared" si="0"/>
        <v>18 mm   -    4 inc+10+4 sat</v>
      </c>
      <c r="M10" s="1">
        <v>18</v>
      </c>
      <c r="N10" s="1" t="s">
        <v>45</v>
      </c>
      <c r="O10" s="2" t="s">
        <v>46</v>
      </c>
      <c r="Q10" s="1" t="s">
        <v>38</v>
      </c>
      <c r="R10" s="1"/>
      <c r="S10" s="18" t="s">
        <v>39</v>
      </c>
    </row>
    <row r="11" spans="2:27" ht="21" customHeight="1" x14ac:dyDescent="0.2">
      <c r="B11" s="95"/>
      <c r="C11" s="299"/>
      <c r="G11" s="51" t="s">
        <v>55</v>
      </c>
      <c r="H11" s="7">
        <f>C12*B8/1000000</f>
        <v>5</v>
      </c>
      <c r="I11" s="8" t="s">
        <v>56</v>
      </c>
      <c r="J11" s="103"/>
      <c r="K11" s="2">
        <v>10</v>
      </c>
      <c r="L11" s="18" t="str">
        <f t="shared" si="0"/>
        <v>18 mm   -    5 inc+8+5 inc</v>
      </c>
      <c r="M11" s="1">
        <v>18</v>
      </c>
      <c r="N11" s="1" t="s">
        <v>48</v>
      </c>
      <c r="O11" s="2" t="s">
        <v>49</v>
      </c>
      <c r="Q11" s="1" t="s">
        <v>38</v>
      </c>
      <c r="R11" s="1"/>
      <c r="S11" s="18" t="s">
        <v>39</v>
      </c>
      <c r="W11" s="2"/>
    </row>
    <row r="12" spans="2:27" ht="21" customHeight="1" x14ac:dyDescent="0.2">
      <c r="B12" s="95"/>
      <c r="C12" s="37">
        <v>2000</v>
      </c>
      <c r="E12" s="105"/>
      <c r="G12" s="52" t="s">
        <v>59</v>
      </c>
      <c r="H12" s="53">
        <v>1</v>
      </c>
      <c r="I12" s="8" t="s">
        <v>60</v>
      </c>
      <c r="J12" s="102"/>
      <c r="K12" s="2">
        <v>9</v>
      </c>
      <c r="L12" s="18" t="str">
        <f t="shared" si="0"/>
        <v>19 mm   -    4 inc+10+5 inc</v>
      </c>
      <c r="M12" s="1">
        <v>19</v>
      </c>
      <c r="N12" s="1" t="s">
        <v>53</v>
      </c>
      <c r="O12" s="2" t="s">
        <v>54</v>
      </c>
      <c r="Q12" s="1" t="s">
        <v>38</v>
      </c>
      <c r="R12" s="1"/>
      <c r="S12" s="18" t="s">
        <v>39</v>
      </c>
      <c r="W12" s="2"/>
    </row>
    <row r="13" spans="2:27" s="3" customFormat="1" ht="21" customHeight="1" thickBot="1" x14ac:dyDescent="0.25">
      <c r="B13" s="106"/>
      <c r="C13" s="107"/>
      <c r="D13" s="107"/>
      <c r="E13" s="107"/>
      <c r="F13" s="107"/>
      <c r="G13" s="108" t="s">
        <v>258</v>
      </c>
      <c r="H13" s="109">
        <f>IF(H10=L3,((H11/4)*K3*2.54*1.3),IF(H10=L4,((H11/4)*K4*2.54*1.3),IF(H10=L5,((H11/4)*K5*2.54*1.3),IF(H10=L6,((H11/4)*K6*2.54*1.3),IF(H10=L7,((H11/4)*K7*2.54*1.3),IF(H10=L8,((H11/4)*K8*2.54*1.3),IF(H10=L9,((H11/4)*K9*2.54*1.3),IF(H10=L10,((H11/4)*K10*2.54*1.3),IF(H10=L11,((H11/4)*K11*2.54*1.3),IF(H10=L12,((H11/4)*K12*2.54*1.3),IF(H10=L13,((H11/4)*K13*2.54*1.3),IF(H10=L15,((H11/4)*K15*2.54*1.3),IF(H10=L16,((H11/4)*K16*2.54*1.3),IF(H10=L17,((H11/4)*K17*2.54*1.3)))))))))))))))</f>
        <v>49.53</v>
      </c>
      <c r="I13" s="107"/>
      <c r="J13" s="110"/>
      <c r="K13" s="27">
        <v>11</v>
      </c>
      <c r="L13" s="18" t="str">
        <f t="shared" si="0"/>
        <v>19 mm   -    5 inc+8+6 inc</v>
      </c>
      <c r="M13" s="1">
        <v>19</v>
      </c>
      <c r="N13" s="1" t="s">
        <v>57</v>
      </c>
      <c r="O13" s="2" t="s">
        <v>58</v>
      </c>
      <c r="P13" s="1"/>
      <c r="Q13" s="1" t="s">
        <v>38</v>
      </c>
      <c r="R13" s="1"/>
      <c r="S13" s="18" t="s">
        <v>39</v>
      </c>
      <c r="V13" s="2"/>
      <c r="W13" s="2"/>
      <c r="X13" s="2"/>
      <c r="Y13" s="2"/>
      <c r="Z13" s="2"/>
    </row>
    <row r="14" spans="2:27" s="3" customFormat="1" ht="21" customHeight="1" thickBot="1" x14ac:dyDescent="0.25">
      <c r="G14" s="89"/>
      <c r="H14" s="90"/>
      <c r="K14" s="27"/>
      <c r="L14" s="18"/>
      <c r="M14" s="1"/>
      <c r="N14" s="1"/>
      <c r="O14" s="2"/>
      <c r="P14" s="1"/>
      <c r="Q14" s="1"/>
      <c r="R14" s="1"/>
      <c r="S14" s="18"/>
      <c r="V14" s="2"/>
      <c r="W14" s="2"/>
      <c r="X14" s="2"/>
      <c r="Y14" s="2"/>
      <c r="Z14" s="2"/>
    </row>
    <row r="15" spans="2:27" ht="15" customHeight="1" x14ac:dyDescent="0.2">
      <c r="B15" s="187"/>
      <c r="C15" s="381" t="s">
        <v>66</v>
      </c>
      <c r="D15" s="382"/>
      <c r="E15" s="383"/>
      <c r="F15" s="183" t="s">
        <v>67</v>
      </c>
      <c r="G15" s="188" t="s">
        <v>68</v>
      </c>
      <c r="H15" s="384" t="s">
        <v>69</v>
      </c>
      <c r="I15" s="384"/>
      <c r="J15" s="189" t="s">
        <v>70</v>
      </c>
      <c r="K15" s="2">
        <v>11</v>
      </c>
      <c r="L15" s="18" t="str">
        <f t="shared" si="0"/>
        <v>19 mm   -    5 inc+8+6 lam</v>
      </c>
      <c r="M15" s="1">
        <v>19</v>
      </c>
      <c r="N15" s="1" t="s">
        <v>61</v>
      </c>
      <c r="O15" s="2" t="s">
        <v>62</v>
      </c>
      <c r="Q15" s="1" t="s">
        <v>38</v>
      </c>
      <c r="R15" s="1"/>
      <c r="S15" s="18" t="s">
        <v>39</v>
      </c>
      <c r="W15" s="2"/>
    </row>
    <row r="16" spans="2:27" ht="15" customHeight="1" x14ac:dyDescent="0.2">
      <c r="B16" s="190"/>
      <c r="C16" s="44" t="s">
        <v>231</v>
      </c>
      <c r="D16" s="45"/>
      <c r="E16" s="46"/>
      <c r="F16" s="43">
        <f>H12*2</f>
        <v>2</v>
      </c>
      <c r="G16" s="32">
        <f>C12+5</f>
        <v>2005</v>
      </c>
      <c r="H16" s="43" t="s">
        <v>75</v>
      </c>
      <c r="I16" s="43" t="s">
        <v>75</v>
      </c>
      <c r="J16" s="141" t="s">
        <v>76</v>
      </c>
      <c r="K16" s="2">
        <v>10</v>
      </c>
      <c r="L16" s="18" t="str">
        <f t="shared" si="0"/>
        <v>20 mm   -    4 inc+10+6 lam</v>
      </c>
      <c r="M16" s="1">
        <v>20</v>
      </c>
      <c r="N16" s="1" t="s">
        <v>64</v>
      </c>
      <c r="O16" s="2" t="s">
        <v>65</v>
      </c>
      <c r="Q16" s="1" t="s">
        <v>38</v>
      </c>
      <c r="R16" s="1"/>
      <c r="S16" s="18" t="s">
        <v>39</v>
      </c>
      <c r="V16" s="12" t="s">
        <v>15</v>
      </c>
      <c r="W16" s="2"/>
    </row>
    <row r="17" spans="2:25" ht="15" customHeight="1" x14ac:dyDescent="0.2">
      <c r="B17" s="190"/>
      <c r="C17" s="44" t="str">
        <f>C16</f>
        <v>MARCO DOBLE RIEL CORREDERA S75</v>
      </c>
      <c r="D17" s="45"/>
      <c r="E17" s="46"/>
      <c r="F17" s="43">
        <f>F16</f>
        <v>2</v>
      </c>
      <c r="G17" s="32">
        <f>B8+5</f>
        <v>2505</v>
      </c>
      <c r="H17" s="43" t="s">
        <v>75</v>
      </c>
      <c r="I17" s="43" t="s">
        <v>75</v>
      </c>
      <c r="J17" s="141" t="s">
        <v>77</v>
      </c>
      <c r="K17" s="2">
        <v>12</v>
      </c>
      <c r="L17" s="2" t="s">
        <v>71</v>
      </c>
      <c r="M17" s="12">
        <v>22</v>
      </c>
      <c r="N17" s="1" t="s">
        <v>72</v>
      </c>
      <c r="O17" s="2" t="s">
        <v>73</v>
      </c>
      <c r="S17" s="18" t="s">
        <v>74</v>
      </c>
      <c r="V17" s="12" t="s">
        <v>32</v>
      </c>
      <c r="W17" s="2"/>
      <c r="X17" s="16" t="s">
        <v>80</v>
      </c>
      <c r="Y17" s="16" t="s">
        <v>81</v>
      </c>
    </row>
    <row r="18" spans="2:25" ht="15" customHeight="1" x14ac:dyDescent="0.2">
      <c r="B18" s="190"/>
      <c r="C18" s="44" t="s">
        <v>82</v>
      </c>
      <c r="D18" s="45"/>
      <c r="E18" s="46"/>
      <c r="F18" s="43">
        <f>F17</f>
        <v>2</v>
      </c>
      <c r="G18" s="32">
        <f>G16-85</f>
        <v>1920</v>
      </c>
      <c r="H18" s="43" t="s">
        <v>83</v>
      </c>
      <c r="I18" s="43" t="s">
        <v>83</v>
      </c>
      <c r="J18" s="141" t="s">
        <v>76</v>
      </c>
      <c r="K18" s="232"/>
      <c r="L18" s="232"/>
      <c r="M18" s="232"/>
      <c r="N18" s="232"/>
      <c r="O18" s="232"/>
      <c r="P18" s="232"/>
      <c r="Q18" s="232"/>
      <c r="R18" s="232"/>
      <c r="S18" s="232"/>
      <c r="T18" s="2" t="s">
        <v>84</v>
      </c>
      <c r="U18" s="2" t="s">
        <v>85</v>
      </c>
      <c r="V18" s="12" t="s">
        <v>42</v>
      </c>
      <c r="X18" s="16" t="s">
        <v>86</v>
      </c>
      <c r="Y18" s="16" t="s">
        <v>87</v>
      </c>
    </row>
    <row r="19" spans="2:25" ht="15" customHeight="1" x14ac:dyDescent="0.2">
      <c r="B19" s="190"/>
      <c r="C19" s="44" t="s">
        <v>82</v>
      </c>
      <c r="D19" s="45"/>
      <c r="E19" s="46"/>
      <c r="F19" s="43">
        <f>F18</f>
        <v>2</v>
      </c>
      <c r="G19" s="32">
        <f>G17-85</f>
        <v>2420</v>
      </c>
      <c r="H19" s="43" t="s">
        <v>83</v>
      </c>
      <c r="I19" s="43" t="s">
        <v>83</v>
      </c>
      <c r="J19" s="141" t="s">
        <v>77</v>
      </c>
      <c r="K19" s="232"/>
      <c r="L19" s="232"/>
      <c r="M19" s="232"/>
      <c r="N19" s="232"/>
      <c r="O19" s="232"/>
      <c r="P19" s="232"/>
      <c r="Q19" s="232"/>
      <c r="R19" s="232"/>
      <c r="S19" s="232"/>
      <c r="T19" s="2" t="s">
        <v>88</v>
      </c>
      <c r="U19" s="2" t="s">
        <v>89</v>
      </c>
      <c r="V19" s="12" t="s">
        <v>44</v>
      </c>
      <c r="W19" s="2"/>
      <c r="X19" s="16" t="s">
        <v>90</v>
      </c>
      <c r="Y19" s="16" t="s">
        <v>91</v>
      </c>
    </row>
    <row r="20" spans="2:25" ht="15" customHeight="1" x14ac:dyDescent="0.2">
      <c r="B20" s="190"/>
      <c r="C20" s="44" t="s">
        <v>210</v>
      </c>
      <c r="D20" s="45"/>
      <c r="E20" s="46"/>
      <c r="F20" s="43">
        <f>H12*8</f>
        <v>8</v>
      </c>
      <c r="G20" s="32">
        <f>((C12/2)-48+8-3)/2+49+5</f>
        <v>532.5</v>
      </c>
      <c r="H20" s="43" t="s">
        <v>75</v>
      </c>
      <c r="I20" s="43" t="s">
        <v>75</v>
      </c>
      <c r="J20" s="141" t="s">
        <v>250</v>
      </c>
      <c r="K20" s="232"/>
      <c r="L20" s="232"/>
      <c r="M20" s="232"/>
      <c r="N20" s="232"/>
      <c r="O20" s="232"/>
      <c r="P20" s="232"/>
      <c r="Q20" s="232"/>
      <c r="R20" s="232"/>
      <c r="S20" s="232"/>
      <c r="T20" s="2" t="s">
        <v>94</v>
      </c>
      <c r="U20" s="2" t="s">
        <v>95</v>
      </c>
      <c r="V20" s="12" t="s">
        <v>25</v>
      </c>
      <c r="X20" s="16" t="s">
        <v>96</v>
      </c>
      <c r="Y20" s="16" t="s">
        <v>97</v>
      </c>
    </row>
    <row r="21" spans="2:25" ht="15" customHeight="1" x14ac:dyDescent="0.25">
      <c r="B21" s="191"/>
      <c r="C21" s="44" t="str">
        <f>C20</f>
        <v>HOJA CORREDERA 98</v>
      </c>
      <c r="D21" s="45"/>
      <c r="E21" s="46"/>
      <c r="F21" s="43">
        <f>F20</f>
        <v>8</v>
      </c>
      <c r="G21" s="32">
        <f>B8-48-48+16+5</f>
        <v>2425</v>
      </c>
      <c r="H21" s="43" t="s">
        <v>75</v>
      </c>
      <c r="I21" s="43" t="s">
        <v>75</v>
      </c>
      <c r="J21" s="141" t="s">
        <v>259</v>
      </c>
      <c r="K21" s="232"/>
      <c r="L21" s="232"/>
      <c r="M21" s="232"/>
      <c r="N21" s="232"/>
      <c r="O21" s="232"/>
      <c r="P21" s="232"/>
      <c r="Q21" s="232"/>
      <c r="R21" s="232"/>
      <c r="S21" s="232"/>
      <c r="T21" s="2" t="s">
        <v>99</v>
      </c>
      <c r="U21" s="2" t="s">
        <v>100</v>
      </c>
      <c r="V21" s="1" t="s">
        <v>50</v>
      </c>
      <c r="W21" s="2"/>
      <c r="X21" s="17" t="s">
        <v>101</v>
      </c>
      <c r="Y21" s="16" t="s">
        <v>102</v>
      </c>
    </row>
    <row r="22" spans="2:25" ht="15" customHeight="1" x14ac:dyDescent="0.2">
      <c r="B22" s="192"/>
      <c r="C22" s="44" t="str">
        <f>IF(G17 &gt;= 2500, "REFUERZO BOX CON INCLINACION","REFUERZO HOJA CORREDERA 98 2 MM")</f>
        <v>REFUERZO BOX CON INCLINACION</v>
      </c>
      <c r="D22" s="45"/>
      <c r="E22" s="46"/>
      <c r="F22" s="43">
        <f>F21</f>
        <v>8</v>
      </c>
      <c r="G22" s="32">
        <f>G20-80-80-25</f>
        <v>347.5</v>
      </c>
      <c r="H22" s="43" t="s">
        <v>83</v>
      </c>
      <c r="I22" s="43" t="s">
        <v>83</v>
      </c>
      <c r="J22" s="141" t="s">
        <v>250</v>
      </c>
      <c r="K22" s="232"/>
      <c r="L22" s="232"/>
      <c r="M22" s="232"/>
      <c r="N22" s="232"/>
      <c r="O22" s="232"/>
      <c r="P22" s="232"/>
      <c r="Q22" s="232"/>
      <c r="R22" s="232"/>
      <c r="S22" s="232"/>
      <c r="W22" s="2"/>
    </row>
    <row r="23" spans="2:25" ht="15" customHeight="1" x14ac:dyDescent="0.2">
      <c r="B23" s="192"/>
      <c r="C23" s="44" t="str">
        <f>C22</f>
        <v>REFUERZO BOX CON INCLINACION</v>
      </c>
      <c r="D23" s="45"/>
      <c r="E23" s="46"/>
      <c r="F23" s="43">
        <f>F22</f>
        <v>8</v>
      </c>
      <c r="G23" s="32">
        <f>G21-80-80-25</f>
        <v>2240</v>
      </c>
      <c r="H23" s="43" t="s">
        <v>83</v>
      </c>
      <c r="I23" s="43" t="s">
        <v>83</v>
      </c>
      <c r="J23" s="141" t="s">
        <v>259</v>
      </c>
      <c r="K23" s="232"/>
      <c r="L23" s="232"/>
      <c r="M23" s="232"/>
      <c r="N23" s="232"/>
      <c r="O23" s="232"/>
      <c r="P23" s="232"/>
      <c r="Q23" s="232"/>
      <c r="R23" s="232"/>
      <c r="S23" s="232"/>
      <c r="W23" s="13" t="s">
        <v>24</v>
      </c>
    </row>
    <row r="24" spans="2:25" ht="15" customHeight="1" x14ac:dyDescent="0.2">
      <c r="B24" s="192"/>
      <c r="C24" s="44" t="s">
        <v>104</v>
      </c>
      <c r="D24" s="45"/>
      <c r="E24" s="46"/>
      <c r="F24" s="43">
        <f>IF(G17&gt;=2300,4,0)</f>
        <v>4</v>
      </c>
      <c r="G24" s="32">
        <f>IF(F24&gt;=1,G21-80-80-25,0)</f>
        <v>2240</v>
      </c>
      <c r="H24" s="43" t="s">
        <v>83</v>
      </c>
      <c r="I24" s="43" t="s">
        <v>83</v>
      </c>
      <c r="J24" s="141" t="s">
        <v>252</v>
      </c>
      <c r="K24" s="232"/>
      <c r="L24" s="232"/>
      <c r="M24" s="232"/>
      <c r="N24" s="232"/>
      <c r="O24" s="232"/>
      <c r="P24" s="232"/>
      <c r="Q24" s="232"/>
      <c r="R24" s="232"/>
      <c r="S24" s="232"/>
      <c r="W24" s="13"/>
    </row>
    <row r="25" spans="2:25" ht="15" customHeight="1" x14ac:dyDescent="0.2">
      <c r="B25" s="191"/>
      <c r="C25" s="44" t="s">
        <v>213</v>
      </c>
      <c r="D25" s="45"/>
      <c r="E25" s="46"/>
      <c r="F25" s="43">
        <f>F20/2</f>
        <v>4</v>
      </c>
      <c r="G25" s="32">
        <f>G21-7</f>
        <v>2418</v>
      </c>
      <c r="H25" s="43" t="s">
        <v>83</v>
      </c>
      <c r="I25" s="43" t="s">
        <v>83</v>
      </c>
      <c r="J25" s="141" t="s">
        <v>107</v>
      </c>
      <c r="K25" s="232"/>
      <c r="L25" s="232"/>
      <c r="M25" s="232"/>
      <c r="N25" s="232"/>
      <c r="O25" s="232"/>
      <c r="P25" s="232"/>
      <c r="Q25" s="232"/>
      <c r="R25" s="232"/>
      <c r="S25" s="232"/>
      <c r="T25" s="16" t="s">
        <v>108</v>
      </c>
      <c r="U25" s="16" t="s">
        <v>109</v>
      </c>
      <c r="W25" s="13" t="s">
        <v>31</v>
      </c>
    </row>
    <row r="26" spans="2:25" ht="15" customHeight="1" x14ac:dyDescent="0.2">
      <c r="B26" s="190"/>
      <c r="C26" s="44" t="s">
        <v>110</v>
      </c>
      <c r="D26" s="45"/>
      <c r="E26" s="46"/>
      <c r="F26" s="15">
        <f>F16</f>
        <v>2</v>
      </c>
      <c r="G26" s="32">
        <f>C12-48-48-1</f>
        <v>1903</v>
      </c>
      <c r="H26" s="43" t="s">
        <v>75</v>
      </c>
      <c r="I26" s="43" t="s">
        <v>75</v>
      </c>
      <c r="J26" s="141" t="s">
        <v>111</v>
      </c>
      <c r="K26" s="232"/>
      <c r="L26" s="232"/>
      <c r="M26" s="232"/>
      <c r="N26" s="232"/>
      <c r="O26" s="232"/>
      <c r="P26" s="232"/>
      <c r="Q26" s="232"/>
      <c r="R26" s="232"/>
      <c r="S26" s="232"/>
      <c r="T26" s="16" t="s">
        <v>112</v>
      </c>
      <c r="U26" s="16" t="s">
        <v>113</v>
      </c>
      <c r="W26" s="13" t="s">
        <v>41</v>
      </c>
    </row>
    <row r="27" spans="2:25" ht="15" customHeight="1" x14ac:dyDescent="0.2">
      <c r="B27" s="190"/>
      <c r="C27" s="44" t="str">
        <f>VLOOKUP(C33,O3:S17,5,0)</f>
        <v>JUNQUILLO PARA TERMOPANEL 22-24 MM</v>
      </c>
      <c r="D27" s="45"/>
      <c r="E27" s="46"/>
      <c r="F27" s="243">
        <f>F20</f>
        <v>8</v>
      </c>
      <c r="G27" s="32">
        <f>G20-80-80-5</f>
        <v>367.5</v>
      </c>
      <c r="H27" s="244" t="s">
        <v>75</v>
      </c>
      <c r="I27" s="244" t="s">
        <v>75</v>
      </c>
      <c r="J27" s="254" t="s">
        <v>260</v>
      </c>
      <c r="T27" s="16" t="s">
        <v>114</v>
      </c>
      <c r="U27" s="16" t="s">
        <v>115</v>
      </c>
    </row>
    <row r="28" spans="2:25" ht="15" customHeight="1" x14ac:dyDescent="0.2">
      <c r="B28" s="190"/>
      <c r="C28" s="255" t="str">
        <f>C27</f>
        <v>JUNQUILLO PARA TERMOPANEL 22-24 MM</v>
      </c>
      <c r="D28" s="256"/>
      <c r="E28" s="32"/>
      <c r="F28" s="243">
        <f>F27</f>
        <v>8</v>
      </c>
      <c r="G28" s="32">
        <f>G21-80-80-5</f>
        <v>2260</v>
      </c>
      <c r="H28" s="244" t="s">
        <v>75</v>
      </c>
      <c r="I28" s="244" t="s">
        <v>75</v>
      </c>
      <c r="J28" s="254" t="s">
        <v>212</v>
      </c>
      <c r="T28" s="16" t="s">
        <v>116</v>
      </c>
      <c r="U28" s="16" t="s">
        <v>117</v>
      </c>
    </row>
    <row r="29" spans="2:25" ht="15" customHeight="1" thickBot="1" x14ac:dyDescent="0.3">
      <c r="B29" s="156"/>
      <c r="C29" s="193" t="s">
        <v>253</v>
      </c>
      <c r="D29" s="194"/>
      <c r="E29" s="184"/>
      <c r="F29" s="129">
        <f>H12</f>
        <v>1</v>
      </c>
      <c r="G29" s="185">
        <f>G21-5</f>
        <v>2420</v>
      </c>
      <c r="H29" s="252" t="s">
        <v>83</v>
      </c>
      <c r="I29" s="252" t="s">
        <v>83</v>
      </c>
      <c r="J29" s="130" t="s">
        <v>254</v>
      </c>
      <c r="T29" s="17" t="s">
        <v>118</v>
      </c>
      <c r="U29" s="16" t="s">
        <v>119</v>
      </c>
    </row>
    <row r="30" spans="2:25" ht="15" customHeight="1" thickBot="1" x14ac:dyDescent="0.3">
      <c r="G30" s="180"/>
      <c r="H30" s="253"/>
      <c r="I30" s="253"/>
      <c r="T30" s="181"/>
      <c r="U30" s="182"/>
    </row>
    <row r="31" spans="2:25" ht="18" customHeight="1" thickBot="1" x14ac:dyDescent="0.25">
      <c r="B31" s="117" t="str">
        <f>G10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5" ht="18" customHeight="1" x14ac:dyDescent="0.2">
      <c r="B32" s="120" t="s">
        <v>120</v>
      </c>
      <c r="C32" s="47" t="s">
        <v>121</v>
      </c>
      <c r="D32" s="48"/>
      <c r="E32" s="48"/>
      <c r="F32" s="49"/>
      <c r="G32" s="42" t="s">
        <v>122</v>
      </c>
      <c r="H32" s="42" t="s">
        <v>123</v>
      </c>
      <c r="I32" s="42" t="s">
        <v>124</v>
      </c>
      <c r="J32" s="121" t="s">
        <v>125</v>
      </c>
      <c r="T32" s="16" t="s">
        <v>126</v>
      </c>
      <c r="U32" s="16" t="s">
        <v>127</v>
      </c>
      <c r="W32" s="1"/>
      <c r="Y32" s="13"/>
    </row>
    <row r="33" spans="1:25" ht="18" customHeight="1" thickBot="1" x14ac:dyDescent="0.25">
      <c r="B33" s="140" t="str">
        <f>H10</f>
        <v>22 mm   -    6 inc+10+6 lam</v>
      </c>
      <c r="C33" s="143" t="str">
        <f>VLOOKUP(H10,L3:O17,4,0)</f>
        <v>Termopanel 6 mm Incoloro + 10 mm + 6 mm Incoloro Laminado</v>
      </c>
      <c r="D33" s="144"/>
      <c r="E33" s="144"/>
      <c r="F33" s="145"/>
      <c r="G33" s="123">
        <f>G27-8</f>
        <v>359.5</v>
      </c>
      <c r="H33" s="123">
        <f>G28-8</f>
        <v>2252</v>
      </c>
      <c r="I33" s="124">
        <f>4*H12</f>
        <v>4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9"/>
      <c r="T33" s="16" t="s">
        <v>129</v>
      </c>
      <c r="U33" s="16" t="s">
        <v>130</v>
      </c>
      <c r="W33" s="1"/>
      <c r="Y33" s="13"/>
    </row>
    <row r="34" spans="1:25" ht="18" customHeight="1" x14ac:dyDescent="0.2">
      <c r="T34" s="16" t="s">
        <v>131</v>
      </c>
      <c r="U34" s="16" t="s">
        <v>132</v>
      </c>
      <c r="W34" s="1"/>
      <c r="Y34" s="13"/>
    </row>
    <row r="35" spans="1:25" ht="18" customHeight="1" thickBot="1" x14ac:dyDescent="0.25">
      <c r="B35" s="2"/>
      <c r="C35" s="2"/>
      <c r="D35" s="2"/>
      <c r="E35" s="2"/>
      <c r="F35" s="2"/>
      <c r="G35" s="2"/>
      <c r="H35" s="2"/>
      <c r="I35" s="2"/>
      <c r="J35" s="2"/>
      <c r="T35" s="16" t="s">
        <v>255</v>
      </c>
      <c r="U35" s="16" t="s">
        <v>256</v>
      </c>
    </row>
    <row r="36" spans="1:25" ht="18" customHeight="1" thickBot="1" x14ac:dyDescent="0.25">
      <c r="B36" s="230"/>
      <c r="C36" s="183" t="s">
        <v>66</v>
      </c>
      <c r="D36" s="217"/>
      <c r="E36" s="217"/>
      <c r="F36" s="218" t="s">
        <v>67</v>
      </c>
      <c r="G36" s="207" t="s">
        <v>133</v>
      </c>
      <c r="H36" s="262" t="s">
        <v>134</v>
      </c>
      <c r="I36" s="263"/>
      <c r="J36" s="116" t="s">
        <v>124</v>
      </c>
      <c r="T36" s="16" t="s">
        <v>140</v>
      </c>
      <c r="U36" s="16" t="s">
        <v>141</v>
      </c>
    </row>
    <row r="37" spans="1:25" ht="18" customHeight="1" x14ac:dyDescent="0.2">
      <c r="B37" s="208"/>
      <c r="C37" s="41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2000MM</v>
      </c>
      <c r="D37" s="84"/>
      <c r="E37" s="41"/>
      <c r="F37" s="126">
        <f>H12*3</f>
        <v>3</v>
      </c>
      <c r="G37" s="214" t="s">
        <v>138</v>
      </c>
      <c r="H37" s="366" t="s">
        <v>139</v>
      </c>
      <c r="I37" s="367"/>
      <c r="J37" s="131">
        <f>F40*2</f>
        <v>16</v>
      </c>
      <c r="T37" s="16" t="s">
        <v>144</v>
      </c>
      <c r="U37" s="16" t="s">
        <v>145</v>
      </c>
    </row>
    <row r="38" spans="1:25" ht="18" customHeight="1" x14ac:dyDescent="0.2">
      <c r="B38" s="195"/>
      <c r="C38" s="41" t="str">
        <f>IF(AND(H13&gt;=0,H13&lt;=60),'Hoja1 (2)'!D5,IF(AND(H13&gt;=60.1,H13&lt;=120),'Hoja1 (2)'!D6,IF(AND(H13&gt;=120.1,H13&lt;=230),'Hoja1 (2)'!D3,)))</f>
        <v>CARRO CELSUS 60 KG REGULABLE</v>
      </c>
      <c r="D38" s="41"/>
      <c r="E38" s="41"/>
      <c r="F38" s="126">
        <f>H12*8</f>
        <v>8</v>
      </c>
      <c r="G38" s="214" t="s">
        <v>142</v>
      </c>
      <c r="H38" s="361" t="s">
        <v>143</v>
      </c>
      <c r="I38" s="362"/>
      <c r="J38" s="131">
        <f>IF(C37='Hoja1 (2)'!A10,2*'Dobleriel S75 simetrica hoja 80'!F36,IF(C37='Hoja1 (2)'!A11,4*'Dobleriel S75 simetrica hoja 80'!F36,IF(C37='Hoja1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T38" s="16" t="s">
        <v>148</v>
      </c>
      <c r="U38" s="16" t="s">
        <v>149</v>
      </c>
    </row>
    <row r="39" spans="1:25" ht="18" customHeight="1" x14ac:dyDescent="0.2">
      <c r="B39" s="208"/>
      <c r="C39" s="41" t="str">
        <f>IF(H9='Hoja1 (2)'!X3,'Hoja1 (2)'!B3,IF(H9='Hoja1 (2)'!X4,'Hoja1 (2)'!B4,IF(H9='Hoja1 (2)'!X5,'Hoja1 (2)'!B4,IF(H9='Hoja1 (2)'!X6,'Hoja1 (2)'!B5,IF(H9='Hoja1 (2)'!X7,'Hoja1 (2)'!B5)))))</f>
        <v>MANILLA ALUMINIO VENTANA BLANCO</v>
      </c>
      <c r="D39" s="41"/>
      <c r="E39" s="41"/>
      <c r="F39" s="126">
        <f>F37</f>
        <v>3</v>
      </c>
      <c r="G39" s="214" t="s">
        <v>146</v>
      </c>
      <c r="H39" s="361" t="s">
        <v>147</v>
      </c>
      <c r="I39" s="362"/>
      <c r="J39" s="132">
        <f>((B8/250)*2+(C12/250)*2+(B8/250)*8+(C12/250)*2)*H12</f>
        <v>132</v>
      </c>
      <c r="T39" s="16" t="s">
        <v>153</v>
      </c>
      <c r="U39" s="16" t="s">
        <v>154</v>
      </c>
    </row>
    <row r="40" spans="1:25" ht="18" customHeight="1" x14ac:dyDescent="0.25">
      <c r="B40" s="208"/>
      <c r="C40" s="206" t="s">
        <v>150</v>
      </c>
      <c r="D40" s="41"/>
      <c r="E40" s="41"/>
      <c r="F40" s="126">
        <f>IF(C37='Hoja1 (2)'!A10,1*2*H12,IF(C37='Hoja1 (2)'!A11,2*2*H12,IF(C37='Hoja1 (2)'!A12,2*2*H12,IF(C37='Hoja1 (2)'!A13,2*2*H12,IF(C37='Hoja1 (2)'!A14,3*2*H12,IF(C37='Hoja1 (2)'!A15,3*2*H12,IF(C37='Hoja1 (2)'!A16,3*2*H12,IF(C37='Hoja1 (2)'!A17,4*2*H12,IF(C37='Hoja1 (2)'!A18,4*2*H12,IF(C37='Hoja1 (2)'!A19,4*2*H12))))))))))</f>
        <v>8</v>
      </c>
      <c r="G40" s="214" t="s">
        <v>151</v>
      </c>
      <c r="H40" s="361" t="s">
        <v>152</v>
      </c>
      <c r="I40" s="362"/>
      <c r="J40" s="132">
        <f>((B8*2)/500+(C12*2)/500)*H12</f>
        <v>18</v>
      </c>
      <c r="T40" s="17" t="s">
        <v>158</v>
      </c>
      <c r="U40" s="16" t="s">
        <v>159</v>
      </c>
    </row>
    <row r="41" spans="1:25" ht="18" customHeight="1" x14ac:dyDescent="0.2">
      <c r="B41" s="208"/>
      <c r="C41" s="41" t="s">
        <v>155</v>
      </c>
      <c r="D41" s="41"/>
      <c r="E41" s="41"/>
      <c r="F41" s="126">
        <f>H12*2</f>
        <v>2</v>
      </c>
      <c r="G41" s="214" t="s">
        <v>156</v>
      </c>
      <c r="H41" s="361" t="s">
        <v>157</v>
      </c>
      <c r="I41" s="362"/>
      <c r="J41" s="131">
        <f>F42*2</f>
        <v>8</v>
      </c>
    </row>
    <row r="42" spans="1:25" ht="18" customHeight="1" x14ac:dyDescent="0.2">
      <c r="B42" s="208"/>
      <c r="C42" s="41" t="str">
        <f>IF(H9='Hoja1 (2)'!X3,'Hoja1 (2)'!J7,IF(H9='Hoja1 (2)'!X4,'Hoja1 (2)'!J8,IF(H9='Hoja1 (2)'!X5,'Hoja1 (2)'!J8,IF(H9='Hoja1 (2)'!X6,'Hoja1 (2)'!J9,IF(H9='Hoja1 (2)'!X7,'Hoja1 (2)'!J9)))))</f>
        <v>TOPE ESTANCO S75 WINHOUSE BLANCO</v>
      </c>
      <c r="D42" s="41"/>
      <c r="E42" s="41"/>
      <c r="F42" s="126">
        <f>H12*4</f>
        <v>4</v>
      </c>
      <c r="G42" s="214" t="s">
        <v>160</v>
      </c>
      <c r="H42" s="361" t="s">
        <v>157</v>
      </c>
      <c r="I42" s="362"/>
      <c r="J42" s="131">
        <f>IF(C38='Hoja1 (2)'!D4,'Dobleriel S75 simetrica hoja 80'!H13*8*5,'Dobleriel S75 simetrica hoja 80'!H13*8*2)</f>
        <v>16</v>
      </c>
      <c r="T42" s="16" t="s">
        <v>163</v>
      </c>
      <c r="U42" s="16" t="s">
        <v>164</v>
      </c>
    </row>
    <row r="43" spans="1:25" ht="18" customHeight="1" x14ac:dyDescent="0.2">
      <c r="B43" s="208"/>
      <c r="C43" s="41" t="str">
        <f>IF(H9='Hoja1 (2)'!X3,'Hoja1 (2)'!J12,IF(H9='Hoja1 (2)'!X4,'Hoja1 (2)'!J13,IF(H9='Hoja1 (2)'!X5,'Hoja1 (2)'!J14,IF(H9='Hoja1 (2)'!X6,'Hoja1 (2)'!J16,IF(H9='Hoja1 (2)'!X7,'Hoja1 (2)'!J15)))))</f>
        <v>TAPA DESAGÜE BLANCO</v>
      </c>
      <c r="D43" s="41"/>
      <c r="E43" s="41"/>
      <c r="F43" s="126">
        <f>IF(AND(C12&gt;=0,C12&lt;=800),H12*2,IF(AND(C12&gt;=801,C12&lt;=1500),H12*3,IF(C12&gt;=1501,H12*4)))</f>
        <v>4</v>
      </c>
      <c r="G43" s="214" t="s">
        <v>161</v>
      </c>
      <c r="H43" s="288" t="s">
        <v>162</v>
      </c>
      <c r="I43" s="288"/>
      <c r="J43" s="131">
        <f>F41*2</f>
        <v>4</v>
      </c>
      <c r="T43" s="16" t="s">
        <v>167</v>
      </c>
      <c r="U43" s="16" t="s">
        <v>168</v>
      </c>
    </row>
    <row r="44" spans="1:25" ht="18" customHeight="1" x14ac:dyDescent="0.2">
      <c r="B44" s="208"/>
      <c r="C44" s="41" t="str">
        <f>IF(H9='Hoja1 (2)'!X3,'Hoja1 (2)'!J20,IF(H9='Hoja1 (2)'!X4,'Hoja1 (2)'!J21,IF(H9='Hoja1 (2)'!X5,'Hoja1 (2)'!J21,IF(H9='Hoja1 (2)'!X6,'Hoja1 (2)'!J24,IF(H9='Hoja1 (2)'!X7,'Hoja1 (2)'!J24)))))</f>
        <v xml:space="preserve">TAPA TORNILLO AMO 3 BLANCO </v>
      </c>
      <c r="D44" s="41"/>
      <c r="E44" s="41"/>
      <c r="F44" s="127">
        <f>J40</f>
        <v>18</v>
      </c>
      <c r="G44" s="214" t="s">
        <v>165</v>
      </c>
      <c r="H44" s="288" t="s">
        <v>166</v>
      </c>
      <c r="I44" s="288"/>
      <c r="J44" s="131">
        <f>F39*2</f>
        <v>6</v>
      </c>
      <c r="T44" s="16" t="s">
        <v>171</v>
      </c>
      <c r="U44" s="16" t="s">
        <v>172</v>
      </c>
    </row>
    <row r="45" spans="1:25" ht="18" customHeight="1" thickBot="1" x14ac:dyDescent="0.25">
      <c r="B45" s="208"/>
      <c r="C45" s="41" t="str">
        <f>IF(H9='Hoja1 (2)'!Q3,'Hoja1 (2)'!J28,'Hoja1 (2)'!J29)</f>
        <v xml:space="preserve">TOPE CORREDERA 90º BLANCO </v>
      </c>
      <c r="D45" s="41"/>
      <c r="E45" s="41"/>
      <c r="F45" s="126">
        <f>H12*4</f>
        <v>4</v>
      </c>
      <c r="G45" s="215" t="s">
        <v>169</v>
      </c>
      <c r="H45" s="257" t="s">
        <v>170</v>
      </c>
      <c r="I45" s="257"/>
      <c r="J45" s="202">
        <f>F45*1</f>
        <v>4</v>
      </c>
      <c r="T45" s="16" t="s">
        <v>174</v>
      </c>
      <c r="U45" s="16" t="s">
        <v>175</v>
      </c>
    </row>
    <row r="46" spans="1:25" ht="18" customHeight="1" x14ac:dyDescent="0.25">
      <c r="B46" s="208"/>
      <c r="C46" s="212" t="s">
        <v>173</v>
      </c>
      <c r="D46" s="41"/>
      <c r="E46" s="41"/>
      <c r="F46" s="126">
        <f>H12*4</f>
        <v>4</v>
      </c>
      <c r="T46" s="17" t="s">
        <v>178</v>
      </c>
      <c r="U46" s="16" t="s">
        <v>179</v>
      </c>
    </row>
    <row r="47" spans="1:25" ht="16.399999999999999" customHeight="1" x14ac:dyDescent="0.2">
      <c r="A47" s="280"/>
      <c r="B47" s="208"/>
      <c r="C47" s="209" t="s">
        <v>176</v>
      </c>
      <c r="D47" s="41" t="s">
        <v>177</v>
      </c>
      <c r="E47" s="41"/>
      <c r="F47" s="128">
        <f>(((B8*10)+(C12*16))*H12)/1000</f>
        <v>57</v>
      </c>
      <c r="T47" s="16" t="s">
        <v>180</v>
      </c>
      <c r="U47" s="16" t="s">
        <v>181</v>
      </c>
    </row>
    <row r="48" spans="1:25" ht="17.5" customHeight="1" x14ac:dyDescent="0.2">
      <c r="A48" s="280"/>
      <c r="B48" s="208"/>
      <c r="C48" s="41" t="str">
        <f>IF(H9='Hoja1 (2)'!X3,'Hoja1 (2)'!K4,IF(H9='Hoja1 (2)'!X4,'Hoja1 (2)'!K5,IF(H9='Hoja1 (2)'!X5,'Hoja1 (2)'!K6,IF(H9='Hoja1 (2)'!X6,'Hoja1 (2)'!K7,IF(H9='Hoja1 (2)'!X7,'Hoja1 (2)'!K3)))))</f>
        <v>SILICONA NEUTRA 300gr. BLANCO</v>
      </c>
      <c r="D48" s="41" t="s">
        <v>137</v>
      </c>
      <c r="E48" s="41"/>
      <c r="F48" s="127">
        <f>((((B8*C12)/10000)*2)*0.7)/300*H12</f>
        <v>2.3333333333333335</v>
      </c>
      <c r="T48" s="16" t="s">
        <v>183</v>
      </c>
      <c r="U48" s="16" t="s">
        <v>184</v>
      </c>
    </row>
    <row r="49" spans="1:21" ht="19.399999999999999" customHeight="1" x14ac:dyDescent="0.2">
      <c r="A49" s="280"/>
      <c r="B49" s="208"/>
      <c r="C49" s="210" t="s">
        <v>182</v>
      </c>
      <c r="D49" s="41" t="s">
        <v>137</v>
      </c>
      <c r="E49" s="41"/>
      <c r="F49" s="126">
        <f>H12*24</f>
        <v>24</v>
      </c>
      <c r="T49" s="16" t="s">
        <v>186</v>
      </c>
      <c r="U49" s="16" t="s">
        <v>187</v>
      </c>
    </row>
    <row r="50" spans="1:21" ht="18" customHeight="1" x14ac:dyDescent="0.2">
      <c r="A50" s="280"/>
      <c r="B50" s="208"/>
      <c r="C50" s="211" t="s">
        <v>185</v>
      </c>
      <c r="D50" s="41" t="s">
        <v>137</v>
      </c>
      <c r="E50" s="41"/>
      <c r="F50" s="126">
        <f>F49*1</f>
        <v>24</v>
      </c>
      <c r="T50" s="16" t="s">
        <v>189</v>
      </c>
      <c r="U50" s="16" t="s">
        <v>190</v>
      </c>
    </row>
    <row r="51" spans="1:21" ht="16.75" customHeight="1" x14ac:dyDescent="0.25">
      <c r="A51" s="280"/>
      <c r="B51" s="208"/>
      <c r="C51" s="209" t="s">
        <v>188</v>
      </c>
      <c r="D51" s="41" t="s">
        <v>137</v>
      </c>
      <c r="E51" s="41"/>
      <c r="F51" s="126">
        <f>1*F49</f>
        <v>24</v>
      </c>
      <c r="T51" s="17" t="s">
        <v>192</v>
      </c>
      <c r="U51" s="16" t="s">
        <v>193</v>
      </c>
    </row>
    <row r="52" spans="1:21" ht="18.649999999999999" customHeight="1" x14ac:dyDescent="0.2">
      <c r="A52" s="280"/>
      <c r="B52" s="208"/>
      <c r="C52" s="209" t="s">
        <v>191</v>
      </c>
      <c r="D52" s="41" t="s">
        <v>137</v>
      </c>
      <c r="E52" s="41"/>
      <c r="F52" s="126">
        <f>1*F49</f>
        <v>24</v>
      </c>
      <c r="T52" s="16" t="s">
        <v>194</v>
      </c>
      <c r="U52" s="16" t="s">
        <v>195</v>
      </c>
    </row>
    <row r="53" spans="1:21" ht="18" customHeight="1" x14ac:dyDescent="0.2">
      <c r="B53" s="208"/>
      <c r="C53" s="41" t="str">
        <f>IF(C38='Hoja1 (2)'!D5,'Dobleriel S75 cuatro hojas 98'!C55,IF('Dobleriel S75 cuatro hojas 98'!C38='Hoja1 (2)'!D6,'Dobleriel S75 cuatro hojas 98'!C55,IF('Dobleriel S75 cuatro hojas 98'!C38='Hoja1 (2)'!D3,'Dobleriel S75 cuatro hojas 98'!C56)))</f>
        <v>SUPLEMENTO CELSUS 16,5 MM + 18,5 MM.</v>
      </c>
      <c r="D53" s="41" t="s">
        <v>137</v>
      </c>
      <c r="E53" s="41"/>
      <c r="F53" s="126">
        <f>8*H12</f>
        <v>8</v>
      </c>
      <c r="T53" s="16" t="s">
        <v>197</v>
      </c>
      <c r="U53" s="16" t="s">
        <v>198</v>
      </c>
    </row>
    <row r="54" spans="1:21" ht="15.65" customHeight="1" thickBot="1" x14ac:dyDescent="0.25">
      <c r="B54" s="196"/>
      <c r="C54" s="129" t="s">
        <v>202</v>
      </c>
      <c r="D54" s="129" t="s">
        <v>137</v>
      </c>
      <c r="E54" s="129" t="s">
        <v>137</v>
      </c>
      <c r="F54" s="130">
        <f>2</f>
        <v>2</v>
      </c>
      <c r="T54" s="16" t="s">
        <v>200</v>
      </c>
      <c r="U54" s="16" t="s">
        <v>201</v>
      </c>
    </row>
    <row r="55" spans="1:21" ht="15" hidden="1" customHeight="1" x14ac:dyDescent="0.2">
      <c r="C55" s="1" t="s">
        <v>214</v>
      </c>
      <c r="T55" s="16" t="s">
        <v>203</v>
      </c>
      <c r="U55" s="16" t="s">
        <v>204</v>
      </c>
    </row>
    <row r="56" spans="1:21" ht="13.75" hidden="1" customHeight="1" x14ac:dyDescent="0.25">
      <c r="C56" s="1" t="s">
        <v>215</v>
      </c>
      <c r="T56" s="17" t="s">
        <v>205</v>
      </c>
      <c r="U56" s="16" t="s">
        <v>206</v>
      </c>
    </row>
    <row r="57" spans="1:21" ht="14.5" customHeight="1" x14ac:dyDescent="0.2">
      <c r="B57" s="208"/>
      <c r="C57" s="41" t="s">
        <v>257</v>
      </c>
      <c r="D57" s="41" t="s">
        <v>137</v>
      </c>
      <c r="E57" s="41"/>
      <c r="F57" s="126">
        <f>H12*2</f>
        <v>2</v>
      </c>
    </row>
    <row r="58" spans="1:21" ht="15" thickBot="1" x14ac:dyDescent="0.4">
      <c r="B58" s="196"/>
      <c r="C58" s="129" t="s">
        <v>261</v>
      </c>
      <c r="D58" s="129" t="s">
        <v>137</v>
      </c>
      <c r="E58" s="129" t="s">
        <v>137</v>
      </c>
      <c r="F58" s="130">
        <f>H12*8</f>
        <v>8</v>
      </c>
      <c r="U58"/>
    </row>
    <row r="59" spans="1:21" ht="130.75" customHeight="1" x14ac:dyDescent="0.35">
      <c r="U59"/>
    </row>
    <row r="60" spans="1:21" ht="128.5" customHeight="1" x14ac:dyDescent="0.35">
      <c r="U60"/>
    </row>
  </sheetData>
  <sheetProtection algorithmName="SHA-512" hashValue="rzZJQk7khbrwtV9oWV5FYTSvsR9XEKGfbOdIYcwUilDnRq0xGJexpWIkwHwN40zew/wcIUGktUfPSU7ueQwx4A==" saltValue="pKyYyeyY7ufsf58csyaGcQ==" spinCount="100000" sheet="1" objects="1" scenarios="1"/>
  <dataConsolidate/>
  <mergeCells count="21">
    <mergeCell ref="H41:I41"/>
    <mergeCell ref="H42:I42"/>
    <mergeCell ref="A47:A52"/>
    <mergeCell ref="C15:E15"/>
    <mergeCell ref="H15:I15"/>
    <mergeCell ref="H39:I39"/>
    <mergeCell ref="H40:I40"/>
    <mergeCell ref="H36:I36"/>
    <mergeCell ref="H43:I43"/>
    <mergeCell ref="H44:I44"/>
    <mergeCell ref="H45:I45"/>
    <mergeCell ref="B2:H2"/>
    <mergeCell ref="C4:C11"/>
    <mergeCell ref="H37:I37"/>
    <mergeCell ref="H38:I38"/>
    <mergeCell ref="G5:J5"/>
    <mergeCell ref="H7:I7"/>
    <mergeCell ref="H8:I8"/>
    <mergeCell ref="H9:I9"/>
    <mergeCell ref="H10:I10"/>
    <mergeCell ref="I2:J4"/>
  </mergeCells>
  <conditionalFormatting sqref="B22">
    <cfRule type="duplicateValues" dxfId="33" priority="7"/>
    <cfRule type="duplicateValues" dxfId="32" priority="8"/>
    <cfRule type="duplicateValues" dxfId="31" priority="9"/>
  </conditionalFormatting>
  <conditionalFormatting sqref="B23:B24">
    <cfRule type="duplicateValues" dxfId="30" priority="4"/>
    <cfRule type="duplicateValues" dxfId="29" priority="5"/>
    <cfRule type="duplicateValues" dxfId="28" priority="6"/>
  </conditionalFormatting>
  <conditionalFormatting sqref="T25:T28">
    <cfRule type="duplicateValues" dxfId="27" priority="29"/>
    <cfRule type="duplicateValues" dxfId="26" priority="31"/>
    <cfRule type="duplicateValues" dxfId="25" priority="32"/>
  </conditionalFormatting>
  <conditionalFormatting sqref="T32:T35">
    <cfRule type="duplicateValues" dxfId="24" priority="23"/>
    <cfRule type="duplicateValues" dxfId="23" priority="25"/>
  </conditionalFormatting>
  <conditionalFormatting sqref="T32:T39">
    <cfRule type="duplicateValues" dxfId="22" priority="26"/>
  </conditionalFormatting>
  <conditionalFormatting sqref="T42:T45 T47:T50 T52:T55">
    <cfRule type="duplicateValues" dxfId="21" priority="20"/>
  </conditionalFormatting>
  <conditionalFormatting sqref="T42:T45">
    <cfRule type="duplicateValues" dxfId="20" priority="17"/>
    <cfRule type="duplicateValues" dxfId="19" priority="19"/>
  </conditionalFormatting>
  <conditionalFormatting sqref="T59:T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{672ADBB1-2138-4240-8DCD-41236E1AA062}</x14:id>
        </ext>
      </extLst>
    </cfRule>
  </conditionalFormatting>
  <conditionalFormatting sqref="T59:U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{45FF5B18-1C4E-4CDC-B68C-EB462718F8A1}</x14:id>
        </ext>
      </extLst>
    </cfRule>
  </conditionalFormatting>
  <conditionalFormatting sqref="U25:U30">
    <cfRule type="duplicateValues" dxfId="18" priority="28"/>
    <cfRule type="duplicateValues" dxfId="17" priority="30"/>
    <cfRule type="duplicateValues" dxfId="16" priority="33"/>
  </conditionalFormatting>
  <conditionalFormatting sqref="U32:U40">
    <cfRule type="duplicateValues" dxfId="15" priority="56"/>
  </conditionalFormatting>
  <conditionalFormatting sqref="U42:U56">
    <cfRule type="duplicateValues" dxfId="14" priority="16"/>
    <cfRule type="duplicateValues" dxfId="13" priority="18"/>
    <cfRule type="duplicateValues" dxfId="12" priority="21"/>
  </conditionalFormatting>
  <conditionalFormatting sqref="U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{F9E19F98-AB0C-416E-B2B7-50B9573BEB1F}</x14:id>
        </ext>
      </extLst>
    </cfRule>
  </conditionalFormatting>
  <conditionalFormatting sqref="X17:X20">
    <cfRule type="duplicateValues" dxfId="11" priority="11"/>
    <cfRule type="duplicateValues" dxfId="10" priority="13"/>
    <cfRule type="duplicateValues" dxfId="9" priority="14"/>
  </conditionalFormatting>
  <conditionalFormatting sqref="Y17:Y21">
    <cfRule type="duplicateValues" dxfId="8" priority="10"/>
    <cfRule type="duplicateValues" dxfId="7" priority="12"/>
    <cfRule type="duplicateValues" dxfId="6" priority="15"/>
  </conditionalFormatting>
  <dataValidations count="1">
    <dataValidation type="list" allowBlank="1" showInputMessage="1" showErrorMessage="1" sqref="H10:I10" xr:uid="{00000000-0002-0000-0A00-000000000000}">
      <formula1>$L$3:$L$17</formula1>
    </dataValidation>
  </dataValidations>
  <pageMargins left="0.7" right="0.7" top="0.75" bottom="0.75" header="0.3" footer="0.3"/>
  <ignoredErrors>
    <ignoredError sqref="F20" formula="1"/>
    <ignoredError sqref="C28" evalError="1"/>
  </ignoredErrors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2ADBB1-2138-4240-8DCD-41236E1AA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T59:T60</xm:sqref>
        </x14:conditionalFormatting>
        <x14:conditionalFormatting xmlns:xm="http://schemas.microsoft.com/office/excel/2006/main">
          <x14:cfRule type="dataBar" id="{45FF5B18-1C4E-4CDC-B68C-EB462718F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T59:U60</xm:sqref>
        </x14:conditionalFormatting>
        <x14:conditionalFormatting xmlns:xm="http://schemas.microsoft.com/office/excel/2006/main">
          <x14:cfRule type="dataBar" id="{F9E19F98-AB0C-416E-B2B7-50B9573BE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'Hoja1 (2)'!$X$3:$X$7</xm:f>
          </x14:formula1>
          <xm:sqref>H9:I9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3"/>
  <sheetViews>
    <sheetView zoomScaleNormal="100" workbookViewId="0">
      <selection activeCell="G18" sqref="G18"/>
    </sheetView>
  </sheetViews>
  <sheetFormatPr baseColWidth="10" defaultColWidth="11.453125" defaultRowHeight="10" x14ac:dyDescent="0.2"/>
  <cols>
    <col min="1" max="1" width="4.1796875" style="2" customWidth="1"/>
    <col min="2" max="2" width="12.54296875" style="1" customWidth="1"/>
    <col min="3" max="5" width="13.54296875" style="1" customWidth="1"/>
    <col min="6" max="6" width="8.1796875" style="1" customWidth="1"/>
    <col min="7" max="7" width="13.54296875" style="1" customWidth="1"/>
    <col min="8" max="8" width="12.1796875" style="1" customWidth="1"/>
    <col min="9" max="9" width="14.54296875" style="1" customWidth="1"/>
    <col min="10" max="10" width="17.81640625" style="1" customWidth="1"/>
    <col min="11" max="11" width="21.453125" style="2" customWidth="1"/>
    <col min="12" max="12" width="20.453125" style="2" customWidth="1"/>
    <col min="13" max="13" width="11.453125" style="2" hidden="1" customWidth="1"/>
    <col min="14" max="14" width="31.1796875" style="2" hidden="1" customWidth="1"/>
    <col min="15" max="15" width="11.453125" style="2" hidden="1" customWidth="1"/>
    <col min="16" max="16" width="16.453125" style="2" hidden="1" customWidth="1"/>
    <col min="17" max="17" width="4" style="2" hidden="1" customWidth="1"/>
    <col min="18" max="18" width="38" style="5" hidden="1" customWidth="1"/>
    <col min="19" max="21" width="11.453125" style="2" hidden="1" customWidth="1"/>
    <col min="22" max="22" width="17.81640625" style="2" hidden="1" customWidth="1"/>
    <col min="23" max="24" width="11.453125" style="2" hidden="1" customWidth="1"/>
    <col min="25" max="16384" width="11.453125" style="2"/>
  </cols>
  <sheetData>
    <row r="1" spans="2:22" ht="21" customHeight="1" thickBot="1" x14ac:dyDescent="0.25"/>
    <row r="2" spans="2:22" ht="39" customHeight="1" thickBot="1" x14ac:dyDescent="0.25">
      <c r="B2" s="353" t="s">
        <v>2</v>
      </c>
      <c r="C2" s="354"/>
      <c r="D2" s="354"/>
      <c r="E2" s="354"/>
      <c r="F2" s="354"/>
      <c r="G2" s="354"/>
      <c r="H2" s="360"/>
      <c r="I2" s="291"/>
      <c r="J2" s="291"/>
    </row>
    <row r="3" spans="2:22" ht="12.65" customHeight="1" thickBot="1" x14ac:dyDescent="0.25">
      <c r="C3" s="4"/>
      <c r="D3" s="2"/>
      <c r="I3" s="291"/>
      <c r="J3" s="291"/>
    </row>
    <row r="4" spans="2:22" ht="6" customHeight="1" thickBot="1" x14ac:dyDescent="0.25">
      <c r="B4" s="146"/>
      <c r="C4" s="147"/>
      <c r="D4" s="147"/>
      <c r="E4" s="147"/>
      <c r="F4" s="147"/>
      <c r="G4" s="147"/>
      <c r="H4" s="147"/>
      <c r="I4" s="291"/>
      <c r="J4" s="291"/>
      <c r="O4" s="1" t="s">
        <v>224</v>
      </c>
      <c r="P4" s="1"/>
      <c r="Q4" s="1"/>
      <c r="R4" s="18"/>
    </row>
    <row r="5" spans="2:22" ht="21" customHeight="1" thickBot="1" x14ac:dyDescent="0.25">
      <c r="B5" s="95"/>
      <c r="C5" s="298"/>
      <c r="D5" s="298"/>
      <c r="E5" s="298"/>
      <c r="G5" s="300" t="s">
        <v>13</v>
      </c>
      <c r="H5" s="359"/>
      <c r="I5" s="293"/>
      <c r="J5" s="293"/>
      <c r="K5" s="19"/>
      <c r="L5" s="19"/>
      <c r="O5" s="1" t="str">
        <f>H11</f>
        <v>22 mm   -    6 inc+10+6 lam</v>
      </c>
      <c r="P5" s="1"/>
      <c r="Q5" s="1"/>
      <c r="R5" s="18"/>
    </row>
    <row r="6" spans="2:22" ht="21" customHeight="1" x14ac:dyDescent="0.2">
      <c r="B6" s="149"/>
      <c r="C6" s="298"/>
      <c r="D6" s="298"/>
      <c r="E6" s="298"/>
      <c r="G6" s="10" t="s">
        <v>20</v>
      </c>
      <c r="H6" s="38" t="s">
        <v>21</v>
      </c>
      <c r="I6" s="9"/>
      <c r="J6" s="97"/>
      <c r="K6" s="19"/>
      <c r="L6" s="19"/>
      <c r="M6" s="2">
        <v>3.7</v>
      </c>
      <c r="N6" s="18" t="str">
        <f>P6&amp;" -    "&amp;O6&amp;" "&amp;"mm"</f>
        <v>Semilla -    3.7 mm</v>
      </c>
      <c r="O6" s="1" t="s">
        <v>3</v>
      </c>
      <c r="P6" s="1" t="s">
        <v>4</v>
      </c>
      <c r="Q6" s="1"/>
      <c r="R6" s="2" t="s">
        <v>5</v>
      </c>
      <c r="T6" s="1" t="s">
        <v>6</v>
      </c>
      <c r="U6" s="1"/>
      <c r="V6" s="18" t="s">
        <v>225</v>
      </c>
    </row>
    <row r="7" spans="2:22" ht="21" customHeight="1" x14ac:dyDescent="0.2">
      <c r="B7" s="150"/>
      <c r="C7" s="298"/>
      <c r="D7" s="298"/>
      <c r="E7" s="298"/>
      <c r="G7" s="6" t="s">
        <v>27</v>
      </c>
      <c r="H7" s="303" t="str">
        <f>D13&amp;"  "&amp;"mm"&amp;" "&amp;"x"&amp;" "&amp;B8&amp;" "&amp;"mm"</f>
        <v>500  mm x 1000 mm</v>
      </c>
      <c r="I7" s="303"/>
      <c r="J7" s="99"/>
      <c r="L7" s="20"/>
      <c r="M7" s="2">
        <v>4</v>
      </c>
      <c r="N7" s="18" t="str">
        <f>O7&amp;" "&amp;"mm"&amp;"     -    "&amp;P7</f>
        <v>4 mm     -    Incoloro</v>
      </c>
      <c r="O7" s="1">
        <v>4</v>
      </c>
      <c r="P7" s="1" t="s">
        <v>8</v>
      </c>
      <c r="Q7" s="1"/>
      <c r="R7" s="2" t="s">
        <v>9</v>
      </c>
      <c r="T7" s="1" t="s">
        <v>6</v>
      </c>
      <c r="U7" s="1"/>
      <c r="V7" s="18" t="s">
        <v>10</v>
      </c>
    </row>
    <row r="8" spans="2:22" ht="21" customHeight="1" x14ac:dyDescent="0.2">
      <c r="B8" s="171">
        <v>1000</v>
      </c>
      <c r="C8" s="298"/>
      <c r="D8" s="298"/>
      <c r="E8" s="298"/>
      <c r="G8" s="6" t="s">
        <v>34</v>
      </c>
      <c r="H8" s="303" t="s">
        <v>35</v>
      </c>
      <c r="I8" s="303"/>
      <c r="J8" s="99"/>
      <c r="L8" s="20"/>
      <c r="M8" s="2">
        <v>4</v>
      </c>
      <c r="N8" s="18" t="str">
        <f>O8&amp;" "&amp;"mm"&amp;"     -    "&amp;P8</f>
        <v>4 mm     -    Saten</v>
      </c>
      <c r="O8" s="1">
        <v>4</v>
      </c>
      <c r="P8" s="1" t="s">
        <v>11</v>
      </c>
      <c r="Q8" s="1"/>
      <c r="R8" s="2" t="s">
        <v>12</v>
      </c>
      <c r="T8" s="1" t="s">
        <v>6</v>
      </c>
      <c r="U8" s="1"/>
      <c r="V8" s="18" t="s">
        <v>10</v>
      </c>
    </row>
    <row r="9" spans="2:22" ht="21" customHeight="1" x14ac:dyDescent="0.2">
      <c r="B9" s="152"/>
      <c r="C9" s="298"/>
      <c r="D9" s="298"/>
      <c r="E9" s="298"/>
      <c r="G9" s="6" t="s">
        <v>43</v>
      </c>
      <c r="H9" s="341" t="s">
        <v>32</v>
      </c>
      <c r="I9" s="341"/>
      <c r="J9" s="100"/>
      <c r="L9" s="20"/>
      <c r="M9" s="2">
        <v>5</v>
      </c>
      <c r="N9" s="18" t="str">
        <f>O9&amp;" "&amp;"mm"&amp;"     -    "&amp;P9</f>
        <v>5 mm     -    Incoloro</v>
      </c>
      <c r="O9" s="1">
        <v>5</v>
      </c>
      <c r="P9" s="1" t="s">
        <v>8</v>
      </c>
      <c r="Q9" s="1"/>
      <c r="R9" s="2" t="s">
        <v>14</v>
      </c>
      <c r="T9" s="1" t="s">
        <v>6</v>
      </c>
      <c r="U9" s="1"/>
      <c r="V9" s="18" t="s">
        <v>10</v>
      </c>
    </row>
    <row r="10" spans="2:22" ht="21" customHeight="1" x14ac:dyDescent="0.2">
      <c r="B10" s="149"/>
      <c r="C10" s="298"/>
      <c r="D10" s="298"/>
      <c r="E10" s="298"/>
      <c r="G10" s="6" t="s">
        <v>226</v>
      </c>
      <c r="H10" s="303" t="s">
        <v>227</v>
      </c>
      <c r="I10" s="303"/>
      <c r="J10" s="99"/>
      <c r="M10" s="2">
        <v>6</v>
      </c>
      <c r="N10" s="18" t="str">
        <f>O10&amp;" "&amp;"mm"&amp;"     -    "&amp;P10</f>
        <v>6 mm     -    Incoloro</v>
      </c>
      <c r="O10" s="1">
        <v>6</v>
      </c>
      <c r="P10" s="1" t="s">
        <v>8</v>
      </c>
      <c r="Q10" s="1"/>
      <c r="R10" s="2" t="s">
        <v>22</v>
      </c>
      <c r="T10" s="1" t="s">
        <v>6</v>
      </c>
      <c r="U10" s="1"/>
      <c r="V10" s="18" t="s">
        <v>10</v>
      </c>
    </row>
    <row r="11" spans="2:22" ht="21" customHeight="1" x14ac:dyDescent="0.2">
      <c r="B11" s="149"/>
      <c r="C11" s="298"/>
      <c r="D11" s="298"/>
      <c r="E11" s="298"/>
      <c r="G11" s="6" t="s">
        <v>51</v>
      </c>
      <c r="H11" s="295" t="s">
        <v>71</v>
      </c>
      <c r="I11" s="295"/>
      <c r="J11" s="102"/>
      <c r="K11" s="21"/>
      <c r="L11" s="22"/>
      <c r="M11" s="2">
        <v>6</v>
      </c>
      <c r="N11" s="18" t="str">
        <f>O11&amp;" "&amp;"mm"&amp;"     -    "&amp;P11</f>
        <v>6 mm     -    Laminado</v>
      </c>
      <c r="O11" s="1">
        <v>6</v>
      </c>
      <c r="P11" s="1" t="s">
        <v>28</v>
      </c>
      <c r="Q11" s="1"/>
      <c r="R11" s="2" t="s">
        <v>29</v>
      </c>
      <c r="T11" s="1" t="s">
        <v>6</v>
      </c>
      <c r="U11" s="1"/>
      <c r="V11" s="18" t="s">
        <v>10</v>
      </c>
    </row>
    <row r="12" spans="2:22" ht="15" customHeight="1" thickBot="1" x14ac:dyDescent="0.25">
      <c r="B12" s="153"/>
      <c r="C12" s="298"/>
      <c r="D12" s="298"/>
      <c r="E12" s="298"/>
      <c r="G12" s="6" t="s">
        <v>55</v>
      </c>
      <c r="H12" s="7">
        <f>D13*B8/1000000</f>
        <v>0.5</v>
      </c>
      <c r="I12" s="8" t="s">
        <v>228</v>
      </c>
      <c r="J12" s="102"/>
      <c r="L12" s="23"/>
      <c r="M12" s="2">
        <v>8</v>
      </c>
      <c r="N12" s="18" t="str">
        <f t="shared" ref="N12:N19" si="0">O12&amp;" "&amp;"mm"&amp;"   -    "&amp;P12</f>
        <v>18 mm   -    4 inc+10+4 inc</v>
      </c>
      <c r="O12" s="1">
        <v>18</v>
      </c>
      <c r="P12" s="1" t="s">
        <v>36</v>
      </c>
      <c r="Q12" s="1"/>
      <c r="R12" s="2" t="s">
        <v>37</v>
      </c>
      <c r="T12" s="1" t="s">
        <v>38</v>
      </c>
      <c r="U12" s="1"/>
      <c r="V12" s="18" t="s">
        <v>39</v>
      </c>
    </row>
    <row r="13" spans="2:22" ht="21" customHeight="1" thickBot="1" x14ac:dyDescent="0.25">
      <c r="B13" s="95"/>
      <c r="C13" s="201">
        <f>D13/2</f>
        <v>250</v>
      </c>
      <c r="D13" s="200">
        <f>D15/2</f>
        <v>500</v>
      </c>
      <c r="E13" s="199">
        <f>D13/2</f>
        <v>250</v>
      </c>
      <c r="G13" s="6" t="s">
        <v>59</v>
      </c>
      <c r="H13" s="39">
        <v>1</v>
      </c>
      <c r="I13" s="8" t="s">
        <v>60</v>
      </c>
      <c r="J13" s="102"/>
      <c r="M13" s="2">
        <v>8</v>
      </c>
      <c r="N13" s="18" t="str">
        <f t="shared" si="0"/>
        <v>18 mm   -    4 inc+10+4 sat</v>
      </c>
      <c r="O13" s="1">
        <v>18</v>
      </c>
      <c r="P13" s="1" t="s">
        <v>45</v>
      </c>
      <c r="Q13" s="1"/>
      <c r="R13" s="2" t="s">
        <v>46</v>
      </c>
      <c r="T13" s="1" t="s">
        <v>38</v>
      </c>
      <c r="U13" s="1"/>
      <c r="V13" s="18" t="s">
        <v>39</v>
      </c>
    </row>
    <row r="14" spans="2:22" ht="21" customHeight="1" thickBot="1" x14ac:dyDescent="0.25">
      <c r="B14" s="95"/>
      <c r="G14" s="57" t="s">
        <v>262</v>
      </c>
      <c r="H14" s="54">
        <f>IF(H11=N6,((B8*C13/1000000)*M6*2.54*1.3),IF(H11=N7,((B8*C13/1000000)*M7*2.54*1.3),IF(H11=N8,((B8*C13/1000000)*M8*2.54*1.3),IF(H11=N9,((B8*C13/1000000)*M9*2.54*1.3),IF(H11=N10,((B8*C13/1000000)*M10*2.54*1.3),IF(H11=N11,((B8*C13/1000000)*M11*2.54*1.3),IF(H11=N12,((B8*C13/1000000)*M12*2.54*1.3),IF(H11=N13,((B8*C13/1000000)*M13*2.54*1.3),IF(H11=N14,((B8*C13/1000000)*M14*2.54*1.3),IF(H11=N15,((B8*C13/1000000)*M15*2.54*1.3),IF(H11=N17,((B8*C13/1000000)*M17*2.54*1.3),IF(H11=N18,((B8*C13/1000000)*M18*2.54*1.3),IF(H11=N19,((B8*C13/1000000)*M19*2.54*1.3),IF(H11=N20,((B8*C13/1000000)*M20*2.54*1.3)))))))))))))))</f>
        <v>9.9060000000000006</v>
      </c>
      <c r="J14" s="155"/>
      <c r="M14" s="2">
        <v>10</v>
      </c>
      <c r="N14" s="18" t="str">
        <f t="shared" si="0"/>
        <v>18 mm   -    5 inc+8+5 inc</v>
      </c>
      <c r="O14" s="1">
        <v>18</v>
      </c>
      <c r="P14" s="1" t="s">
        <v>48</v>
      </c>
      <c r="Q14" s="1"/>
      <c r="R14" s="2" t="s">
        <v>49</v>
      </c>
      <c r="T14" s="1" t="s">
        <v>38</v>
      </c>
      <c r="U14" s="1"/>
      <c r="V14" s="18" t="s">
        <v>39</v>
      </c>
    </row>
    <row r="15" spans="2:22" ht="18.75" customHeight="1" thickBot="1" x14ac:dyDescent="0.25">
      <c r="B15" s="156"/>
      <c r="C15" s="157"/>
      <c r="D15" s="198">
        <v>1000</v>
      </c>
      <c r="E15" s="159"/>
      <c r="F15" s="157"/>
      <c r="G15" s="108" t="s">
        <v>230</v>
      </c>
      <c r="H15" s="109">
        <f>IF(H11=N6,((B8*D13/1000000)*M6*2.54*1.3),IF(H11=N7,((B8*D13/1000000)*M7*2.54*1.3),IF(H11=N8,((B8*D13/1000000)*M8*2.54*1.3),IF(H11=N9,((B8*D13/1000000)*M9*2.54*1.3),IF(H11=N10,((B8*D13/1000000)*M10*2.54*1.3),IF(H11=N11,((B8*D13/1000000)*M11*2.54*1.3),IF(H11=N12,((B8*D13/1000000)*M12*2.54*1.3),IF(H11=N13,((B8*D13/1000000)*M13*2.54*1.3),IF(H11=N14,((B8*D13/1000000)*M14*2.54*1.3),IF(H11=N15,((B8*D13/1000000)*M15*2.54*1.3),IF(H11=N17,((B8*D13/1000000)*M17*2.54*1.3),IF(H11=N18,((B8*D13/1000000)*M18*2.54*1.3),IF(H11=N19,((B8*D13/1000000)*M19*2.54*1.3),IF(H11=N20,((B8*D13/1000000)*M20*2.54*1.3)))))))))))))))</f>
        <v>19.812000000000001</v>
      </c>
      <c r="I15" s="157"/>
      <c r="J15" s="160"/>
      <c r="M15" s="2">
        <v>9</v>
      </c>
      <c r="N15" s="18" t="str">
        <f t="shared" si="0"/>
        <v>19 mm   -    4 inc+10+5 inc</v>
      </c>
      <c r="O15" s="1">
        <v>19</v>
      </c>
      <c r="P15" s="1" t="s">
        <v>53</v>
      </c>
      <c r="Q15" s="1"/>
      <c r="R15" s="2" t="s">
        <v>54</v>
      </c>
      <c r="T15" s="1" t="s">
        <v>38</v>
      </c>
      <c r="U15" s="1"/>
      <c r="V15" s="18" t="s">
        <v>39</v>
      </c>
    </row>
    <row r="16" spans="2:22" ht="18.75" customHeight="1" thickBot="1" x14ac:dyDescent="0.25">
      <c r="D16" s="25"/>
      <c r="E16" s="26"/>
      <c r="G16" s="89"/>
      <c r="H16" s="90"/>
      <c r="N16" s="18"/>
      <c r="O16" s="1"/>
      <c r="P16" s="1"/>
      <c r="Q16" s="1"/>
      <c r="R16" s="2"/>
      <c r="T16" s="1"/>
      <c r="U16" s="1"/>
      <c r="V16" s="18"/>
    </row>
    <row r="17" spans="2:22" s="3" customFormat="1" ht="21" customHeight="1" thickBot="1" x14ac:dyDescent="0.25">
      <c r="B17" s="172"/>
      <c r="C17" s="368" t="s">
        <v>66</v>
      </c>
      <c r="D17" s="369"/>
      <c r="E17" s="370"/>
      <c r="F17" s="116" t="s">
        <v>67</v>
      </c>
      <c r="G17" s="116" t="s">
        <v>68</v>
      </c>
      <c r="H17" s="368" t="s">
        <v>69</v>
      </c>
      <c r="I17" s="370"/>
      <c r="J17" s="116" t="s">
        <v>70</v>
      </c>
      <c r="M17" s="2">
        <v>11</v>
      </c>
      <c r="N17" s="18" t="str">
        <f t="shared" si="0"/>
        <v>19 mm   -    5 inc+8+6 inc</v>
      </c>
      <c r="O17" s="1">
        <v>19</v>
      </c>
      <c r="P17" s="1" t="s">
        <v>57</v>
      </c>
      <c r="Q17" s="1"/>
      <c r="R17" s="2" t="s">
        <v>58</v>
      </c>
      <c r="S17" s="1"/>
      <c r="T17" s="1" t="s">
        <v>38</v>
      </c>
      <c r="U17" s="1"/>
      <c r="V17" s="18" t="s">
        <v>39</v>
      </c>
    </row>
    <row r="18" spans="2:22" ht="15" customHeight="1" x14ac:dyDescent="0.2">
      <c r="B18" s="164"/>
      <c r="C18" s="371" t="s">
        <v>263</v>
      </c>
      <c r="D18" s="371"/>
      <c r="E18" s="371"/>
      <c r="F18" s="173">
        <f>H13*2</f>
        <v>2</v>
      </c>
      <c r="G18" s="174">
        <f>D15+5</f>
        <v>1005</v>
      </c>
      <c r="H18" s="173" t="s">
        <v>75</v>
      </c>
      <c r="I18" s="173" t="s">
        <v>75</v>
      </c>
      <c r="J18" s="175" t="s">
        <v>76</v>
      </c>
      <c r="M18" s="2">
        <v>11</v>
      </c>
      <c r="N18" s="18" t="str">
        <f t="shared" si="0"/>
        <v>19 mm   -    5 inc+8+6 lam</v>
      </c>
      <c r="O18" s="1">
        <v>19</v>
      </c>
      <c r="P18" s="1" t="s">
        <v>61</v>
      </c>
      <c r="Q18" s="1"/>
      <c r="R18" s="2" t="s">
        <v>62</v>
      </c>
      <c r="T18" s="1" t="s">
        <v>38</v>
      </c>
      <c r="U18" s="1"/>
      <c r="V18" s="18" t="s">
        <v>39</v>
      </c>
    </row>
    <row r="19" spans="2:22" ht="15" customHeight="1" x14ac:dyDescent="0.2">
      <c r="B19" s="164"/>
      <c r="C19" s="347" t="s">
        <v>263</v>
      </c>
      <c r="D19" s="347"/>
      <c r="E19" s="347"/>
      <c r="F19" s="87">
        <f>F18</f>
        <v>2</v>
      </c>
      <c r="G19" s="28">
        <f>B8+5</f>
        <v>1005</v>
      </c>
      <c r="H19" s="87" t="s">
        <v>75</v>
      </c>
      <c r="I19" s="87" t="s">
        <v>75</v>
      </c>
      <c r="J19" s="165" t="s">
        <v>77</v>
      </c>
      <c r="M19" s="2">
        <v>10</v>
      </c>
      <c r="N19" s="18" t="str">
        <f t="shared" si="0"/>
        <v>20 mm   -    4 inc+10+6 lam</v>
      </c>
      <c r="O19" s="1">
        <v>20</v>
      </c>
      <c r="P19" s="1" t="s">
        <v>64</v>
      </c>
      <c r="Q19" s="1"/>
      <c r="R19" s="2" t="s">
        <v>65</v>
      </c>
      <c r="T19" s="1" t="s">
        <v>38</v>
      </c>
      <c r="U19" s="1"/>
      <c r="V19" s="18" t="s">
        <v>39</v>
      </c>
    </row>
    <row r="20" spans="2:22" ht="15" customHeight="1" x14ac:dyDescent="0.2">
      <c r="B20" s="166"/>
      <c r="C20" s="347" t="s">
        <v>264</v>
      </c>
      <c r="D20" s="347"/>
      <c r="E20" s="347"/>
      <c r="F20" s="87">
        <f>$H$13*2</f>
        <v>2</v>
      </c>
      <c r="G20" s="28">
        <f>G18-85</f>
        <v>920</v>
      </c>
      <c r="H20" s="87" t="s">
        <v>83</v>
      </c>
      <c r="I20" s="87" t="s">
        <v>83</v>
      </c>
      <c r="J20" s="165" t="s">
        <v>76</v>
      </c>
      <c r="M20" s="2">
        <v>12</v>
      </c>
      <c r="N20" s="2" t="s">
        <v>71</v>
      </c>
      <c r="O20" s="12">
        <v>22</v>
      </c>
      <c r="P20" s="1" t="s">
        <v>72</v>
      </c>
      <c r="R20" s="2" t="s">
        <v>73</v>
      </c>
      <c r="T20" s="12" t="s">
        <v>232</v>
      </c>
      <c r="V20" s="18" t="s">
        <v>233</v>
      </c>
    </row>
    <row r="21" spans="2:22" ht="15" customHeight="1" x14ac:dyDescent="0.2">
      <c r="B21" s="166"/>
      <c r="C21" s="347" t="s">
        <v>264</v>
      </c>
      <c r="D21" s="347"/>
      <c r="E21" s="347"/>
      <c r="F21" s="87">
        <f>$H$13*2</f>
        <v>2</v>
      </c>
      <c r="G21" s="28">
        <f>G19-85</f>
        <v>920</v>
      </c>
      <c r="H21" s="87" t="s">
        <v>83</v>
      </c>
      <c r="I21" s="87" t="s">
        <v>83</v>
      </c>
      <c r="J21" s="165" t="s">
        <v>77</v>
      </c>
      <c r="O21" s="1"/>
      <c r="Q21" s="1"/>
      <c r="R21" s="18" t="s">
        <v>225</v>
      </c>
      <c r="T21" s="1" t="s">
        <v>6</v>
      </c>
    </row>
    <row r="22" spans="2:22" ht="15" customHeight="1" x14ac:dyDescent="0.2">
      <c r="B22" s="164"/>
      <c r="C22" s="347" t="s">
        <v>217</v>
      </c>
      <c r="D22" s="347"/>
      <c r="E22" s="347"/>
      <c r="F22" s="87">
        <f>H13*4</f>
        <v>4</v>
      </c>
      <c r="G22" s="28">
        <f>D15/4+45</f>
        <v>295</v>
      </c>
      <c r="H22" s="87" t="s">
        <v>75</v>
      </c>
      <c r="I22" s="87" t="s">
        <v>75</v>
      </c>
      <c r="J22" s="165" t="s">
        <v>265</v>
      </c>
      <c r="O22" s="1"/>
      <c r="Q22" s="1"/>
      <c r="R22" s="18" t="s">
        <v>235</v>
      </c>
      <c r="T22" s="1" t="s">
        <v>38</v>
      </c>
    </row>
    <row r="23" spans="2:22" ht="15" customHeight="1" x14ac:dyDescent="0.2">
      <c r="B23" s="164"/>
      <c r="C23" s="347" t="str">
        <f>C22</f>
        <v>HOJA CORREDERA 80</v>
      </c>
      <c r="D23" s="347"/>
      <c r="E23" s="347"/>
      <c r="F23" s="87">
        <f>$H$13*2</f>
        <v>2</v>
      </c>
      <c r="G23" s="28">
        <f>D15/2+5</f>
        <v>505</v>
      </c>
      <c r="H23" s="87" t="s">
        <v>75</v>
      </c>
      <c r="I23" s="87" t="s">
        <v>75</v>
      </c>
      <c r="J23" s="165" t="s">
        <v>236</v>
      </c>
      <c r="R23" s="5" t="s">
        <v>237</v>
      </c>
      <c r="T23" s="2">
        <v>18291820</v>
      </c>
    </row>
    <row r="24" spans="2:22" ht="15" customHeight="1" x14ac:dyDescent="0.2">
      <c r="B24" s="164"/>
      <c r="C24" s="347" t="str">
        <f>C23</f>
        <v>HOJA CORREDERA 80</v>
      </c>
      <c r="D24" s="347"/>
      <c r="E24" s="347"/>
      <c r="F24" s="87">
        <f>H13*6</f>
        <v>6</v>
      </c>
      <c r="G24" s="28">
        <f>B8-75</f>
        <v>925</v>
      </c>
      <c r="H24" s="87" t="s">
        <v>75</v>
      </c>
      <c r="I24" s="87" t="s">
        <v>75</v>
      </c>
      <c r="J24" s="165" t="s">
        <v>266</v>
      </c>
    </row>
    <row r="25" spans="2:22" ht="15" customHeight="1" x14ac:dyDescent="0.2">
      <c r="B25" s="166"/>
      <c r="C25" s="347" t="s">
        <v>267</v>
      </c>
      <c r="D25" s="347"/>
      <c r="E25" s="347"/>
      <c r="F25" s="87">
        <f>H13*4</f>
        <v>4</v>
      </c>
      <c r="G25" s="28">
        <f>G22-149</f>
        <v>146</v>
      </c>
      <c r="H25" s="87" t="s">
        <v>83</v>
      </c>
      <c r="I25" s="87" t="s">
        <v>83</v>
      </c>
      <c r="J25" s="165" t="s">
        <v>265</v>
      </c>
    </row>
    <row r="26" spans="2:22" ht="15" customHeight="1" x14ac:dyDescent="0.2">
      <c r="B26" s="166"/>
      <c r="C26" s="347" t="str">
        <f>C25</f>
        <v>REFUERZO NEW MULTIPLE 1,2 MM</v>
      </c>
      <c r="D26" s="347"/>
      <c r="E26" s="347"/>
      <c r="F26" s="87">
        <f>$H$13*2</f>
        <v>2</v>
      </c>
      <c r="G26" s="28">
        <f>G23-149</f>
        <v>356</v>
      </c>
      <c r="H26" s="87" t="s">
        <v>83</v>
      </c>
      <c r="I26" s="87" t="s">
        <v>83</v>
      </c>
      <c r="J26" s="165" t="s">
        <v>236</v>
      </c>
    </row>
    <row r="27" spans="2:22" ht="15" customHeight="1" x14ac:dyDescent="0.2">
      <c r="B27" s="166"/>
      <c r="C27" s="347" t="str">
        <f>C26</f>
        <v>REFUERZO NEW MULTIPLE 1,2 MM</v>
      </c>
      <c r="D27" s="347"/>
      <c r="E27" s="347"/>
      <c r="F27" s="87">
        <f>H13*6</f>
        <v>6</v>
      </c>
      <c r="G27" s="28">
        <f>G24-149</f>
        <v>776</v>
      </c>
      <c r="H27" s="87" t="s">
        <v>83</v>
      </c>
      <c r="I27" s="87" t="s">
        <v>83</v>
      </c>
      <c r="J27" s="165" t="s">
        <v>266</v>
      </c>
    </row>
    <row r="28" spans="2:22" ht="15" customHeight="1" x14ac:dyDescent="0.2">
      <c r="B28" s="166"/>
      <c r="C28" s="356" t="s">
        <v>104</v>
      </c>
      <c r="D28" s="357"/>
      <c r="E28" s="358"/>
      <c r="F28" s="87">
        <f>IF(G19&gt;=2300,4,0)</f>
        <v>0</v>
      </c>
      <c r="G28" s="28">
        <f>IF(F28&gt;=1,G24-62-62-25,0)</f>
        <v>0</v>
      </c>
      <c r="H28" s="87" t="s">
        <v>83</v>
      </c>
      <c r="I28" s="87" t="s">
        <v>83</v>
      </c>
      <c r="J28" s="165" t="s">
        <v>219</v>
      </c>
    </row>
    <row r="29" spans="2:22" ht="15" customHeight="1" x14ac:dyDescent="0.2">
      <c r="B29" s="164"/>
      <c r="C29" s="347" t="s">
        <v>106</v>
      </c>
      <c r="D29" s="347"/>
      <c r="E29" s="347"/>
      <c r="F29" s="87">
        <f>F19*2</f>
        <v>4</v>
      </c>
      <c r="G29" s="28">
        <f>G24-7</f>
        <v>918</v>
      </c>
      <c r="H29" s="87" t="s">
        <v>83</v>
      </c>
      <c r="I29" s="87" t="s">
        <v>83</v>
      </c>
      <c r="J29" s="165" t="s">
        <v>238</v>
      </c>
    </row>
    <row r="30" spans="2:22" ht="15" customHeight="1" x14ac:dyDescent="0.2">
      <c r="B30" s="166"/>
      <c r="C30" s="350" t="str">
        <f>VLOOKUP(C37,R6:Y20,5,0)</f>
        <v>JUNQUILLO PARA TERMOPANEL 20-22 MM</v>
      </c>
      <c r="D30" s="350"/>
      <c r="E30" s="350"/>
      <c r="F30" s="88">
        <f>H13*4</f>
        <v>4</v>
      </c>
      <c r="G30" s="31">
        <f>G22-129</f>
        <v>166</v>
      </c>
      <c r="H30" s="88" t="s">
        <v>75</v>
      </c>
      <c r="I30" s="88" t="s">
        <v>75</v>
      </c>
      <c r="J30" s="167" t="s">
        <v>268</v>
      </c>
    </row>
    <row r="31" spans="2:22" ht="15" customHeight="1" x14ac:dyDescent="0.2">
      <c r="B31" s="166"/>
      <c r="C31" s="350" t="str">
        <f>VLOOKUP(C37,R6:Y20,5,0)</f>
        <v>JUNQUILLO PARA TERMOPANEL 20-22 MM</v>
      </c>
      <c r="D31" s="350"/>
      <c r="E31" s="350"/>
      <c r="F31" s="88">
        <f>H13*2</f>
        <v>2</v>
      </c>
      <c r="G31" s="31">
        <f>G23-129</f>
        <v>376</v>
      </c>
      <c r="H31" s="88" t="s">
        <v>75</v>
      </c>
      <c r="I31" s="88" t="s">
        <v>75</v>
      </c>
      <c r="J31" s="167" t="s">
        <v>236</v>
      </c>
    </row>
    <row r="32" spans="2:22" ht="12.65" customHeight="1" x14ac:dyDescent="0.2">
      <c r="B32" s="166"/>
      <c r="C32" s="350" t="str">
        <f>VLOOKUP(C37,R6:Y20,5,0)</f>
        <v>JUNQUILLO PARA TERMOPANEL 20-22 MM</v>
      </c>
      <c r="D32" s="350"/>
      <c r="E32" s="350"/>
      <c r="F32" s="88">
        <f>$H$13*6</f>
        <v>6</v>
      </c>
      <c r="G32" s="31">
        <f>G24-129</f>
        <v>796</v>
      </c>
      <c r="H32" s="88" t="s">
        <v>75</v>
      </c>
      <c r="I32" s="88" t="s">
        <v>75</v>
      </c>
      <c r="J32" s="167" t="s">
        <v>266</v>
      </c>
    </row>
    <row r="33" spans="2:12" ht="18" customHeight="1" thickBot="1" x14ac:dyDescent="0.25">
      <c r="B33" s="168"/>
      <c r="C33" s="349" t="s">
        <v>239</v>
      </c>
      <c r="D33" s="349"/>
      <c r="E33" s="349"/>
      <c r="F33" s="124">
        <f>H13*2</f>
        <v>2</v>
      </c>
      <c r="G33" s="169">
        <f>D15-48-48-1</f>
        <v>903</v>
      </c>
      <c r="H33" s="124" t="s">
        <v>83</v>
      </c>
      <c r="I33" s="124" t="s">
        <v>83</v>
      </c>
      <c r="J33" s="125" t="s">
        <v>111</v>
      </c>
    </row>
    <row r="34" spans="2:12" ht="18" customHeight="1" thickBot="1" x14ac:dyDescent="0.25"/>
    <row r="35" spans="2:12" ht="18" customHeight="1" thickBot="1" x14ac:dyDescent="0.25">
      <c r="B35" s="117" t="str">
        <f>G11</f>
        <v>Vidrio:</v>
      </c>
      <c r="C35" s="118"/>
      <c r="D35" s="118"/>
      <c r="E35" s="118"/>
      <c r="F35" s="118"/>
      <c r="G35" s="118"/>
      <c r="H35" s="118"/>
      <c r="I35" s="118"/>
      <c r="J35" s="119"/>
      <c r="K35" s="29"/>
      <c r="L35" s="30"/>
    </row>
    <row r="36" spans="2:12" ht="18" customHeight="1" x14ac:dyDescent="0.2">
      <c r="B36" s="120" t="s">
        <v>120</v>
      </c>
      <c r="C36" s="348" t="s">
        <v>121</v>
      </c>
      <c r="D36" s="348"/>
      <c r="E36" s="348"/>
      <c r="F36" s="348"/>
      <c r="G36" s="42" t="s">
        <v>122</v>
      </c>
      <c r="H36" s="42" t="s">
        <v>123</v>
      </c>
      <c r="I36" s="42" t="s">
        <v>124</v>
      </c>
      <c r="J36" s="121" t="s">
        <v>125</v>
      </c>
    </row>
    <row r="37" spans="2:12" ht="18" customHeight="1" x14ac:dyDescent="0.2">
      <c r="B37" s="166" t="str">
        <f>VLOOKUP($H$11,$N$6:$R$20,3,0)</f>
        <v>6 inc+10+6 lam</v>
      </c>
      <c r="C37" s="347" t="str">
        <f>VLOOKUP(O5,N6:R20,5,0)</f>
        <v>Termopanel 6 mm Incoloro + 10 mm + 6 mm Incoloro Laminado</v>
      </c>
      <c r="D37" s="347"/>
      <c r="E37" s="347"/>
      <c r="F37" s="347"/>
      <c r="G37" s="11">
        <f>G22-62-62-10-5</f>
        <v>156</v>
      </c>
      <c r="H37" s="11">
        <f>G24-62-62-5-10</f>
        <v>786</v>
      </c>
      <c r="I37" s="87">
        <v>2</v>
      </c>
      <c r="J37" s="165" t="s">
        <v>269</v>
      </c>
    </row>
    <row r="38" spans="2:12" ht="18" customHeight="1" thickBot="1" x14ac:dyDescent="0.25">
      <c r="B38" s="122" t="str">
        <f>VLOOKUP($H$11,$N$6:$R$20,3,0)</f>
        <v>6 inc+10+6 lam</v>
      </c>
      <c r="C38" s="349" t="str">
        <f>VLOOKUP(O5,N6:R20,5,0)</f>
        <v>Termopanel 6 mm Incoloro + 10 mm + 6 mm Incoloro Laminado</v>
      </c>
      <c r="D38" s="349"/>
      <c r="E38" s="349"/>
      <c r="F38" s="349"/>
      <c r="G38" s="123">
        <f>G23-62-62-5-10</f>
        <v>366</v>
      </c>
      <c r="H38" s="123">
        <f>H37</f>
        <v>786</v>
      </c>
      <c r="I38" s="124">
        <v>1</v>
      </c>
      <c r="J38" s="125" t="s">
        <v>241</v>
      </c>
    </row>
    <row r="39" spans="2:12" ht="18" customHeight="1" thickBot="1" x14ac:dyDescent="0.25"/>
    <row r="40" spans="2:12" ht="18" customHeight="1" thickBot="1" x14ac:dyDescent="0.25">
      <c r="B40" s="363" t="s">
        <v>66</v>
      </c>
      <c r="C40" s="364"/>
      <c r="D40" s="365"/>
      <c r="E40" s="176" t="s">
        <v>70</v>
      </c>
      <c r="F40" s="187" t="s">
        <v>67</v>
      </c>
      <c r="G40" s="116" t="s">
        <v>133</v>
      </c>
      <c r="H40" s="262" t="s">
        <v>134</v>
      </c>
      <c r="I40" s="263"/>
      <c r="J40" s="116" t="s">
        <v>124</v>
      </c>
    </row>
    <row r="41" spans="2:12" ht="18" customHeight="1" x14ac:dyDescent="0.2">
      <c r="B41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E15 800mm</v>
      </c>
      <c r="C41" s="276"/>
      <c r="D41" s="276"/>
      <c r="E41" s="177"/>
      <c r="F41" s="170">
        <f>H13*2</f>
        <v>2</v>
      </c>
      <c r="G41" s="219" t="s">
        <v>138</v>
      </c>
      <c r="H41" s="366" t="s">
        <v>139</v>
      </c>
      <c r="I41" s="367"/>
      <c r="J41" s="170">
        <f>F45*2</f>
        <v>8</v>
      </c>
    </row>
    <row r="42" spans="2:12" ht="18" customHeight="1" x14ac:dyDescent="0.2">
      <c r="B42" s="266" t="str">
        <f>IF(AND(H14&gt;=0,H14&lt;=60),'Hoja1 (2)'!D5,IF(AND(H14&gt;=60.1,H14&lt;=120),'Hoja1 (2)'!D6,IF(AND(H14&gt;=120.1,'Dobleriel S75 simetrica hoja 80'!D44&lt;=230),'Hoja1 (2)'!D3,)))</f>
        <v>CARRO CELSUS 60 KG REGULABLE</v>
      </c>
      <c r="C42" s="267"/>
      <c r="D42" s="267"/>
      <c r="E42" s="41" t="s">
        <v>270</v>
      </c>
      <c r="F42" s="126">
        <f>H13*4</f>
        <v>4</v>
      </c>
      <c r="G42" s="214" t="s">
        <v>142</v>
      </c>
      <c r="H42" s="361" t="s">
        <v>143</v>
      </c>
      <c r="I42" s="362"/>
      <c r="J42" s="131">
        <f>IF(B41='Hoja1 (2)'!A10,2*'Dobleriel S75asimetrica hoja 80'!F41,IF(B41='Hoja1 (2)'!A11,4*'Dobleriel S75asimetrica hoja 80'!F41,IF(B41='Hoja1 (2)'!A12,8*'Dobleriel S75asimetrica hoja 80'!F41,IF(B41='Hoja1 (2)'!A13,8*'Dobleriel S75asimetrica hoja 80'!F41,IF(B41='Hoja1 (2)'!A14,8*'Dobleriel S75asimetrica hoja 80'!F41,IF(B41='Hoja1 (2)'!A15,10*'Dobleriel S75asimetrica hoja 80'!F41,IF(B41='Hoja1 (2)'!A16,10*'Dobleriel S75asimetrica hoja 80'!F41,IF(B41='Hoja1 (2)'!A17,12*'Dobleriel S75asimetrica hoja 80'!F41,IF(B41='Hoja1 (2)'!A18,12*'Dobleriel S75asimetrica hoja 80'!F41,IF(B41='Hoja1 (2)'!A19,12*'Dobleriel S75asimetrica hoja 80'!F41))))))))))</f>
        <v>16</v>
      </c>
    </row>
    <row r="43" spans="2:12" ht="18" customHeight="1" x14ac:dyDescent="0.2">
      <c r="B43" s="266" t="str">
        <f>IF(AND(H15&gt;=0,H15&lt;=60),'Hoja1 (2)'!D5,IF(AND(H15&gt;=61,H15&lt;=120),'Hoja1 (2)'!D6,IF(AND(H15&gt;=121,'Dobleriel S75 simetrica hoja 80'!E45&lt;=230),'Hoja1 (2)'!D3,)))</f>
        <v>CARRO CELSUS 60 KG REGULABLE</v>
      </c>
      <c r="C43" s="267"/>
      <c r="D43" s="267"/>
      <c r="E43" s="41" t="s">
        <v>243</v>
      </c>
      <c r="F43" s="126">
        <f>H13*2</f>
        <v>2</v>
      </c>
      <c r="G43" s="214" t="s">
        <v>146</v>
      </c>
      <c r="H43" s="361" t="s">
        <v>147</v>
      </c>
      <c r="I43" s="362"/>
      <c r="J43" s="132">
        <f>((B8/250)*2+(D13/250)*2+(B8/250)*4+(D13/250)*2)*H13</f>
        <v>32</v>
      </c>
    </row>
    <row r="44" spans="2:12" ht="18" customHeight="1" x14ac:dyDescent="0.2">
      <c r="B44" s="266" t="str">
        <f>IF(H9='Hoja1 (2)'!V3,'Hoja1 (2)'!B3,IF(H9='Hoja1 (2)'!V4,'Hoja1 (2)'!B4,IF(H9='Hoja1 (2)'!V5,'Hoja1 (2)'!B4,IF(H9='Hoja1 (2)'!V6,'Hoja1 (2)'!B5,IF(H9='Hoja1 (2)'!V7,'Hoja1 (2)'!B5)))))</f>
        <v>MANILLA ALUMINIO VENTANA BLANCO</v>
      </c>
      <c r="C44" s="267"/>
      <c r="D44" s="267"/>
      <c r="E44" s="41"/>
      <c r="F44" s="126">
        <f>F41</f>
        <v>2</v>
      </c>
      <c r="G44" s="214" t="s">
        <v>151</v>
      </c>
      <c r="H44" s="361" t="s">
        <v>152</v>
      </c>
      <c r="I44" s="362"/>
      <c r="J44" s="132">
        <f>((B8*2)/500+(D15*2)/500)*H13</f>
        <v>8</v>
      </c>
    </row>
    <row r="45" spans="2:12" ht="18" customHeight="1" x14ac:dyDescent="0.2">
      <c r="B45" s="285" t="s">
        <v>150</v>
      </c>
      <c r="C45" s="270"/>
      <c r="D45" s="270"/>
      <c r="E45" s="41"/>
      <c r="F45" s="126">
        <f>IF(B41='Hoja1 (2)'!A10,1*2*H13,IF(B41='Hoja1 (2)'!A11,2*2*H13,IF(B41='Hoja1 (2)'!A12,2*2*H13,IF(B41='Hoja1 (2)'!A13,2*2*H13,IF(B41='Hoja1 (2)'!A14,3*2*H13,IF(B41='Hoja1 (2)'!A15,3*2*H13,IF(B41='Hoja1 (2)'!A16,3*2*H13,IF(B41='Hoja1 (2)'!A17,4*2*H13,IF(B41='Hoja1 (2)'!A18,4*2*H13,IF(B41='Hoja1 (2)'!A19,4*2*H13))))))))))</f>
        <v>4</v>
      </c>
      <c r="G45" s="214" t="s">
        <v>156</v>
      </c>
      <c r="H45" s="361" t="s">
        <v>157</v>
      </c>
      <c r="I45" s="362"/>
      <c r="J45" s="126">
        <f>F47*2</f>
        <v>8</v>
      </c>
    </row>
    <row r="46" spans="2:12" ht="18" customHeight="1" x14ac:dyDescent="0.2">
      <c r="B46" s="266" t="s">
        <v>155</v>
      </c>
      <c r="C46" s="267"/>
      <c r="D46" s="267"/>
      <c r="E46" s="41"/>
      <c r="F46" s="126">
        <f>F41</f>
        <v>2</v>
      </c>
      <c r="G46" s="216" t="s">
        <v>160</v>
      </c>
      <c r="H46" s="385" t="s">
        <v>157</v>
      </c>
      <c r="I46" s="386"/>
      <c r="J46" s="203">
        <f>IF(B42='Hoja1 (2)'!D4,H13*2*5,H13*2*2)+H13*5*2</f>
        <v>14</v>
      </c>
    </row>
    <row r="47" spans="2:12" ht="18" customHeight="1" x14ac:dyDescent="0.2">
      <c r="B47" s="266" t="str">
        <f>IF(H9='Hoja1 (2)'!V3,'Hoja1 (2)'!J7,IF(H9='Hoja1 (2)'!V4,'Hoja1 (2)'!J8,IF(H9='Hoja1 (2)'!V5,'Hoja1 (2)'!J8,IF(H9='Hoja1 (2)'!V6,'Hoja1 (2)'!J9,IF(H9='Hoja1 (2)'!V7,'Hoja1 (2)'!J9)))))</f>
        <v>TOPE ESTANCO S75 WINHOUSE BLANCO</v>
      </c>
      <c r="C47" s="267"/>
      <c r="D47" s="267"/>
      <c r="E47" s="41"/>
      <c r="F47" s="126">
        <f>H13*4</f>
        <v>4</v>
      </c>
      <c r="G47" s="214" t="s">
        <v>161</v>
      </c>
      <c r="H47" s="288" t="s">
        <v>162</v>
      </c>
      <c r="I47" s="288"/>
      <c r="J47" s="131">
        <f>F46*2</f>
        <v>4</v>
      </c>
    </row>
    <row r="48" spans="2:12" ht="18" customHeight="1" x14ac:dyDescent="0.2">
      <c r="B48" s="266" t="str">
        <f>IF(H9='Hoja1 (2)'!V3,'Hoja1 (2)'!J12,IF(H9='Hoja1 (2)'!V4,'Hoja1 (2)'!J13,IF(H9='Hoja1 (2)'!V5,'Hoja1 (2)'!J14,IF(H9='Hoja1 (2)'!V6,'Hoja1 (2)'!J16,IF(H9='Hoja1 (2)'!V7,'Hoja1 (2)'!J15)))))</f>
        <v>TAPA DESAGÜE BLANCO</v>
      </c>
      <c r="C48" s="267"/>
      <c r="D48" s="267"/>
      <c r="E48" s="41"/>
      <c r="F48" s="126">
        <f>IF(AND(D15&gt;=0,D15&lt;=800),H13*2,IF(AND(D15&gt;=801,D15&lt;=1500),H13*3,IF(D15&gt;=1501,H13*4)))</f>
        <v>3</v>
      </c>
      <c r="G48" s="214" t="s">
        <v>165</v>
      </c>
      <c r="H48" s="288" t="s">
        <v>166</v>
      </c>
      <c r="I48" s="288"/>
      <c r="J48" s="131">
        <f>F44*2</f>
        <v>4</v>
      </c>
    </row>
    <row r="49" spans="1:10" ht="18" customHeight="1" thickBot="1" x14ac:dyDescent="0.25">
      <c r="B49" s="266" t="str">
        <f>IF(H9='Hoja1 (2)'!V3,'Hoja1 (2)'!J20,IF(H9='Hoja1 (2)'!V4,'Hoja1 (2)'!J21,IF(H9='Hoja1 (2)'!V5,'Hoja1 (2)'!J21,IF(H9='Hoja1 (2)'!V6,'Hoja1 (2)'!J24,IF(H9='Hoja1 (2)'!V7,'Hoja1 (2)'!J24)))))</f>
        <v xml:space="preserve">TAPA TORNILLO AMO 3 BLANCO </v>
      </c>
      <c r="C49" s="267"/>
      <c r="D49" s="267"/>
      <c r="E49" s="41"/>
      <c r="F49" s="127">
        <f>J44</f>
        <v>8</v>
      </c>
      <c r="G49" s="215" t="s">
        <v>169</v>
      </c>
      <c r="H49" s="257" t="s">
        <v>170</v>
      </c>
      <c r="I49" s="257"/>
      <c r="J49" s="202">
        <f>F50*1</f>
        <v>2</v>
      </c>
    </row>
    <row r="50" spans="1:10" ht="18" customHeight="1" x14ac:dyDescent="0.2">
      <c r="B50" s="266" t="str">
        <f>IF(H9='Hoja1 (2)'!Q3,'Hoja1 (2)'!J28,'Hoja1 (2)'!J27)</f>
        <v xml:space="preserve">TOPE CORREDERA 90º BLANCO </v>
      </c>
      <c r="C50" s="267"/>
      <c r="D50" s="267"/>
      <c r="E50" s="41"/>
      <c r="F50" s="126">
        <f>H13*2</f>
        <v>2</v>
      </c>
      <c r="G50" s="2"/>
    </row>
    <row r="51" spans="1:10" ht="19.75" customHeight="1" x14ac:dyDescent="0.2">
      <c r="B51" s="264" t="s">
        <v>173</v>
      </c>
      <c r="C51" s="265"/>
      <c r="D51" s="265"/>
      <c r="E51" s="41"/>
      <c r="F51" s="126">
        <f>F41*2</f>
        <v>4</v>
      </c>
      <c r="G51" s="2"/>
    </row>
    <row r="52" spans="1:10" ht="16.399999999999999" customHeight="1" x14ac:dyDescent="0.2">
      <c r="A52" s="280"/>
      <c r="B52" s="258" t="s">
        <v>176</v>
      </c>
      <c r="C52" s="259"/>
      <c r="D52" s="259"/>
      <c r="E52" s="41" t="s">
        <v>177</v>
      </c>
      <c r="F52" s="128">
        <f>(((B8*6)+(D15*8))*H13)/1000</f>
        <v>14</v>
      </c>
      <c r="G52" s="2"/>
    </row>
    <row r="53" spans="1:10" ht="17.5" customHeight="1" x14ac:dyDescent="0.2">
      <c r="A53" s="280"/>
      <c r="B53" s="266" t="str">
        <f>IF(H9='Hoja1 (2)'!V3,'Hoja1 (2)'!K4,IF(H9='Hoja1 (2)'!V4,'Hoja1 (2)'!K5,IF(H9='Hoja1 (2)'!V5,'Hoja1 (2)'!K6,IF(H9='Hoja1 (2)'!V6,'Hoja1 (2)'!K7,IF(H9='Hoja1 (2)'!V7,'Hoja1 (2)'!K3)))))</f>
        <v>SILICONA NEUTRA 300gr. BLANCO</v>
      </c>
      <c r="C53" s="267"/>
      <c r="D53" s="267"/>
      <c r="E53" s="41" t="s">
        <v>137</v>
      </c>
      <c r="F53" s="127">
        <f>((((B8*D15)/10000)*2)*0.7)/300*H13</f>
        <v>0.46666666666666667</v>
      </c>
      <c r="G53" s="2"/>
    </row>
    <row r="54" spans="1:10" ht="18.649999999999999" customHeight="1" x14ac:dyDescent="0.2">
      <c r="A54" s="280"/>
      <c r="B54" s="268" t="s">
        <v>182</v>
      </c>
      <c r="C54" s="269"/>
      <c r="D54" s="269"/>
      <c r="E54" s="41" t="s">
        <v>137</v>
      </c>
      <c r="F54" s="126">
        <f>H13*18</f>
        <v>18</v>
      </c>
      <c r="G54" s="2"/>
    </row>
    <row r="55" spans="1:10" ht="16.75" customHeight="1" x14ac:dyDescent="0.2">
      <c r="A55" s="280"/>
      <c r="B55" s="286" t="s">
        <v>185</v>
      </c>
      <c r="C55" s="287"/>
      <c r="D55" s="287"/>
      <c r="E55" s="41" t="s">
        <v>137</v>
      </c>
      <c r="F55" s="126">
        <f>F54</f>
        <v>18</v>
      </c>
      <c r="G55" s="2"/>
    </row>
    <row r="56" spans="1:10" ht="15.65" customHeight="1" x14ac:dyDescent="0.2">
      <c r="A56" s="280"/>
      <c r="B56" s="258" t="s">
        <v>188</v>
      </c>
      <c r="C56" s="259"/>
      <c r="D56" s="259"/>
      <c r="E56" s="41" t="s">
        <v>137</v>
      </c>
      <c r="F56" s="126">
        <f>F54</f>
        <v>18</v>
      </c>
      <c r="G56" s="2"/>
    </row>
    <row r="57" spans="1:10" ht="15" customHeight="1" thickBot="1" x14ac:dyDescent="0.25">
      <c r="A57" s="280"/>
      <c r="B57" s="258" t="s">
        <v>191</v>
      </c>
      <c r="C57" s="259"/>
      <c r="D57" s="259"/>
      <c r="E57" s="41" t="s">
        <v>137</v>
      </c>
      <c r="F57" s="126">
        <f>F54</f>
        <v>18</v>
      </c>
      <c r="G57" s="2"/>
    </row>
    <row r="58" spans="1:10" ht="16.399999999999999" customHeight="1" thickBot="1" x14ac:dyDescent="0.25">
      <c r="B58" s="266" t="str">
        <f>IF(B42='Hoja1 (2)'!D5,'Dobleriels75asimetrico 3hojaH80'!C62,IF('Dobleriels75asimetrico 3hojaH80'!B42:D42='Hoja1 (2)'!D6,'Dobleriels75asimetrico 3hojaH80'!C62,IF('Dobleriels75asimetrico 3hojaH80'!B42:D42='Hoja1 (2)'!D3,'Dobleriels75asimetrico 3hojaH80'!C63)))</f>
        <v>SUPLEMENTO CELSUS 16,5 MM.</v>
      </c>
      <c r="C58" s="267"/>
      <c r="D58" s="267"/>
      <c r="E58" s="41" t="s">
        <v>137</v>
      </c>
      <c r="F58" s="126">
        <f>H13*4</f>
        <v>4</v>
      </c>
      <c r="G58" s="222" t="s">
        <v>271</v>
      </c>
    </row>
    <row r="59" spans="1:10" ht="17.5" customHeight="1" thickBot="1" x14ac:dyDescent="0.25">
      <c r="B59" s="266" t="str">
        <f>IF(B43='Hoja1 (2)'!D5,'Dobleriels75asimetrico 3hojaH80'!C62,IF('Dobleriels75asimetrico 3hojaH80'!B43='Hoja1 (2)'!D6,'Dobleriels75asimetrico 3hojaH80'!C62,IF('Dobleriels75asimetrico 3hojaH80'!B43='Hoja1 (2)'!D3,'Dobleriels75asimetrico 3hojaH80'!C63)))</f>
        <v>SUPLEMENTO CELSUS 16,5 MM.</v>
      </c>
      <c r="C59" s="267"/>
      <c r="D59" s="267"/>
      <c r="E59" s="41" t="s">
        <v>137</v>
      </c>
      <c r="F59" s="126">
        <f>H13*2</f>
        <v>2</v>
      </c>
      <c r="G59" s="222" t="s">
        <v>246</v>
      </c>
    </row>
    <row r="60" spans="1:10" ht="15.65" customHeight="1" thickBot="1" x14ac:dyDescent="0.25">
      <c r="B60" s="306" t="s">
        <v>202</v>
      </c>
      <c r="C60" s="307"/>
      <c r="D60" s="307"/>
      <c r="E60" s="129" t="s">
        <v>137</v>
      </c>
      <c r="F60" s="130">
        <f>2</f>
        <v>2</v>
      </c>
    </row>
    <row r="61" spans="1:10" ht="16.75" customHeight="1" thickBot="1" x14ac:dyDescent="0.25">
      <c r="B61" s="306" t="s">
        <v>261</v>
      </c>
      <c r="C61" s="307"/>
      <c r="D61" s="307"/>
      <c r="E61" s="129" t="s">
        <v>137</v>
      </c>
      <c r="F61" s="130">
        <f>H13*8</f>
        <v>8</v>
      </c>
    </row>
    <row r="62" spans="1:10" ht="15" hidden="1" customHeight="1" x14ac:dyDescent="0.2">
      <c r="C62" s="1" t="s">
        <v>196</v>
      </c>
    </row>
    <row r="63" spans="1:10" ht="18" hidden="1" customHeight="1" x14ac:dyDescent="0.2">
      <c r="C63" s="1" t="s">
        <v>221</v>
      </c>
    </row>
  </sheetData>
  <sheetProtection algorithmName="SHA-512" hashValue="AXlTkKM7pAJUn4LUgL4YpqDG2Fj2L7KOowOQI5xdLYx+Bip+iacuoxqGHKFfRktID3S/CpC8P+dA/8eh8MLkXw==" saltValue="8WqjBEdBY8V+hSannSoZEQ==" spinCount="100000" sheet="1" objects="1" scenarios="1"/>
  <mergeCells count="63">
    <mergeCell ref="B61:D61"/>
    <mergeCell ref="B60:D60"/>
    <mergeCell ref="B50:D50"/>
    <mergeCell ref="B51:D51"/>
    <mergeCell ref="A52:A57"/>
    <mergeCell ref="B52:D52"/>
    <mergeCell ref="B53:D53"/>
    <mergeCell ref="B54:D54"/>
    <mergeCell ref="B55:D55"/>
    <mergeCell ref="B56:D56"/>
    <mergeCell ref="B57:D57"/>
    <mergeCell ref="B58:D58"/>
    <mergeCell ref="B59:D59"/>
    <mergeCell ref="B49:D49"/>
    <mergeCell ref="H46:I46"/>
    <mergeCell ref="B42:D42"/>
    <mergeCell ref="H42:I42"/>
    <mergeCell ref="B43:D43"/>
    <mergeCell ref="H43:I43"/>
    <mergeCell ref="B44:D44"/>
    <mergeCell ref="H44:I44"/>
    <mergeCell ref="H47:I47"/>
    <mergeCell ref="H48:I48"/>
    <mergeCell ref="H49:I49"/>
    <mergeCell ref="B45:D45"/>
    <mergeCell ref="H45:I45"/>
    <mergeCell ref="B46:D46"/>
    <mergeCell ref="B47:D47"/>
    <mergeCell ref="B48:D48"/>
    <mergeCell ref="C37:F37"/>
    <mergeCell ref="C38:F38"/>
    <mergeCell ref="B40:D40"/>
    <mergeCell ref="H40:I40"/>
    <mergeCell ref="B41:D41"/>
    <mergeCell ref="H41:I41"/>
    <mergeCell ref="C20:E20"/>
    <mergeCell ref="C36:F36"/>
    <mergeCell ref="C22:E22"/>
    <mergeCell ref="C23:E23"/>
    <mergeCell ref="C24:E24"/>
    <mergeCell ref="C25:E25"/>
    <mergeCell ref="C26:E26"/>
    <mergeCell ref="C27:E27"/>
    <mergeCell ref="C29:E29"/>
    <mergeCell ref="C30:E30"/>
    <mergeCell ref="C31:E31"/>
    <mergeCell ref="C32:E32"/>
    <mergeCell ref="C33:E33"/>
    <mergeCell ref="C21:E21"/>
    <mergeCell ref="C28:E28"/>
    <mergeCell ref="C17:E17"/>
    <mergeCell ref="H17:I17"/>
    <mergeCell ref="C18:E18"/>
    <mergeCell ref="C19:E19"/>
    <mergeCell ref="B2:H2"/>
    <mergeCell ref="I2:J5"/>
    <mergeCell ref="C5:E12"/>
    <mergeCell ref="G5:H5"/>
    <mergeCell ref="H7:I7"/>
    <mergeCell ref="H8:I8"/>
    <mergeCell ref="H9:I9"/>
    <mergeCell ref="H10:I10"/>
    <mergeCell ref="H11:I11"/>
  </mergeCells>
  <dataValidations disablePrompts="1" count="1">
    <dataValidation type="list" allowBlank="1" showInputMessage="1" showErrorMessage="1" sqref="H11:I11" xr:uid="{00000000-0002-0000-0B00-000000000000}">
      <formula1>$N$6:$N$20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  <headerFooter>
    <oddHeader>&amp;L&amp;D&amp;R&amp;G</oddHeader>
    <oddFooter>&amp;F</oddFooter>
  </headerFooter>
  <ignoredErrors>
    <ignoredError sqref="F22 F27" formula="1"/>
    <ignoredError sqref="C13:D13" unlockedFormula="1"/>
  </ignoredError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B00-000001000000}">
          <x14:formula1>
            <xm:f>'Hoja1 (2)'!$AD$3:$AD$7</xm:f>
          </x14:formula1>
          <xm:sqref>H9:I9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63"/>
  <sheetViews>
    <sheetView zoomScaleNormal="100" workbookViewId="0">
      <selection activeCell="G24" sqref="G24"/>
    </sheetView>
  </sheetViews>
  <sheetFormatPr baseColWidth="10" defaultColWidth="11.453125" defaultRowHeight="10" x14ac:dyDescent="0.2"/>
  <cols>
    <col min="1" max="1" width="4.1796875" style="2" customWidth="1"/>
    <col min="2" max="2" width="12.54296875" style="1" customWidth="1"/>
    <col min="3" max="5" width="13.54296875" style="1" customWidth="1"/>
    <col min="6" max="6" width="8.1796875" style="1" customWidth="1"/>
    <col min="7" max="7" width="13.54296875" style="1" customWidth="1"/>
    <col min="8" max="8" width="12.1796875" style="1" customWidth="1"/>
    <col min="9" max="9" width="14.54296875" style="1" customWidth="1"/>
    <col min="10" max="10" width="17.81640625" style="1" customWidth="1"/>
    <col min="11" max="11" width="21.453125" style="2" customWidth="1"/>
    <col min="12" max="12" width="20.453125" style="2" customWidth="1"/>
    <col min="13" max="13" width="11.453125" style="2" hidden="1" customWidth="1"/>
    <col min="14" max="14" width="31.1796875" style="2" hidden="1" customWidth="1"/>
    <col min="15" max="15" width="11.453125" style="2" hidden="1" customWidth="1"/>
    <col min="16" max="16" width="16.453125" style="2" hidden="1" customWidth="1"/>
    <col min="17" max="17" width="4" style="2" hidden="1" customWidth="1"/>
    <col min="18" max="18" width="38" style="5" hidden="1" customWidth="1"/>
    <col min="19" max="21" width="11.453125" style="2" hidden="1" customWidth="1"/>
    <col min="22" max="22" width="17.81640625" style="2" hidden="1" customWidth="1"/>
    <col min="23" max="24" width="11.453125" style="2" hidden="1" customWidth="1"/>
    <col min="25" max="16384" width="11.453125" style="2"/>
  </cols>
  <sheetData>
    <row r="1" spans="2:22" ht="21" customHeight="1" thickBot="1" x14ac:dyDescent="0.25"/>
    <row r="2" spans="2:22" ht="39" customHeight="1" thickBot="1" x14ac:dyDescent="0.25">
      <c r="B2" s="353" t="s">
        <v>2</v>
      </c>
      <c r="C2" s="354"/>
      <c r="D2" s="354"/>
      <c r="E2" s="354"/>
      <c r="F2" s="354"/>
      <c r="G2" s="354"/>
      <c r="H2" s="360"/>
      <c r="I2" s="291"/>
      <c r="J2" s="291"/>
    </row>
    <row r="3" spans="2:22" ht="12.65" customHeight="1" thickBot="1" x14ac:dyDescent="0.25">
      <c r="C3" s="4"/>
      <c r="D3" s="2"/>
      <c r="I3" s="291"/>
      <c r="J3" s="291"/>
    </row>
    <row r="4" spans="2:22" ht="6" customHeight="1" thickBot="1" x14ac:dyDescent="0.25">
      <c r="B4" s="146"/>
      <c r="C4" s="147"/>
      <c r="D4" s="147"/>
      <c r="E4" s="147"/>
      <c r="F4" s="147"/>
      <c r="G4" s="147"/>
      <c r="H4" s="147"/>
      <c r="I4" s="291"/>
      <c r="J4" s="291"/>
      <c r="O4" s="1" t="s">
        <v>224</v>
      </c>
      <c r="P4" s="1"/>
      <c r="Q4" s="1"/>
      <c r="R4" s="18"/>
    </row>
    <row r="5" spans="2:22" ht="21" customHeight="1" thickBot="1" x14ac:dyDescent="0.25">
      <c r="B5" s="95"/>
      <c r="C5" s="298"/>
      <c r="D5" s="298"/>
      <c r="E5" s="298"/>
      <c r="G5" s="300" t="s">
        <v>13</v>
      </c>
      <c r="H5" s="359"/>
      <c r="I5" s="293"/>
      <c r="J5" s="293"/>
      <c r="K5" s="19"/>
      <c r="L5" s="19"/>
      <c r="O5" s="1" t="str">
        <f>H11</f>
        <v>22 mm   -    6 inc+10+6 lam</v>
      </c>
      <c r="P5" s="1"/>
      <c r="Q5" s="1"/>
      <c r="R5" s="18"/>
    </row>
    <row r="6" spans="2:22" ht="21" customHeight="1" x14ac:dyDescent="0.2">
      <c r="B6" s="149"/>
      <c r="C6" s="298"/>
      <c r="D6" s="298"/>
      <c r="E6" s="298"/>
      <c r="G6" s="10" t="s">
        <v>20</v>
      </c>
      <c r="H6" s="38" t="s">
        <v>21</v>
      </c>
      <c r="I6" s="9"/>
      <c r="J6" s="97"/>
      <c r="K6" s="19"/>
      <c r="L6" s="19"/>
      <c r="M6" s="2">
        <v>3.7</v>
      </c>
      <c r="N6" s="18" t="str">
        <f>P6&amp;" -    "&amp;O6&amp;" "&amp;"mm"</f>
        <v>Semilla -    3.7 mm</v>
      </c>
      <c r="O6" s="1" t="s">
        <v>3</v>
      </c>
      <c r="P6" s="1" t="s">
        <v>4</v>
      </c>
      <c r="Q6" s="1"/>
      <c r="R6" s="2" t="s">
        <v>5</v>
      </c>
      <c r="T6" s="1" t="s">
        <v>6</v>
      </c>
      <c r="U6" s="1"/>
      <c r="V6" s="18" t="s">
        <v>225</v>
      </c>
    </row>
    <row r="7" spans="2:22" ht="21" customHeight="1" x14ac:dyDescent="0.2">
      <c r="B7" s="150"/>
      <c r="C7" s="298"/>
      <c r="D7" s="298"/>
      <c r="E7" s="298"/>
      <c r="G7" s="6" t="s">
        <v>27</v>
      </c>
      <c r="H7" s="303" t="str">
        <f>D13&amp;"  "&amp;"mm"&amp;" "&amp;"x"&amp;" "&amp;B8&amp;" "&amp;"mm"</f>
        <v>1000  mm x 1000 mm</v>
      </c>
      <c r="I7" s="303"/>
      <c r="J7" s="99"/>
      <c r="L7" s="20"/>
      <c r="M7" s="2">
        <v>4</v>
      </c>
      <c r="N7" s="18" t="str">
        <f>O7&amp;" "&amp;"mm"&amp;"     -    "&amp;P7</f>
        <v>4 mm     -    Incoloro</v>
      </c>
      <c r="O7" s="1">
        <v>4</v>
      </c>
      <c r="P7" s="1" t="s">
        <v>8</v>
      </c>
      <c r="Q7" s="1"/>
      <c r="R7" s="2" t="s">
        <v>9</v>
      </c>
      <c r="T7" s="1" t="s">
        <v>6</v>
      </c>
      <c r="U7" s="1"/>
      <c r="V7" s="18" t="s">
        <v>10</v>
      </c>
    </row>
    <row r="8" spans="2:22" ht="21" customHeight="1" x14ac:dyDescent="0.2">
      <c r="B8" s="171">
        <v>1000</v>
      </c>
      <c r="C8" s="298"/>
      <c r="D8" s="298"/>
      <c r="E8" s="298"/>
      <c r="G8" s="6" t="s">
        <v>34</v>
      </c>
      <c r="H8" s="303" t="s">
        <v>207</v>
      </c>
      <c r="I8" s="303"/>
      <c r="J8" s="99"/>
      <c r="L8" s="20"/>
      <c r="M8" s="2">
        <v>4</v>
      </c>
      <c r="N8" s="18" t="str">
        <f>O8&amp;" "&amp;"mm"&amp;"     -    "&amp;P8</f>
        <v>4 mm     -    Saten</v>
      </c>
      <c r="O8" s="1">
        <v>4</v>
      </c>
      <c r="P8" s="1" t="s">
        <v>11</v>
      </c>
      <c r="Q8" s="1"/>
      <c r="R8" s="2" t="s">
        <v>12</v>
      </c>
      <c r="T8" s="1" t="s">
        <v>6</v>
      </c>
      <c r="U8" s="1"/>
      <c r="V8" s="18" t="s">
        <v>10</v>
      </c>
    </row>
    <row r="9" spans="2:22" ht="21" customHeight="1" x14ac:dyDescent="0.2">
      <c r="B9" s="152"/>
      <c r="C9" s="298"/>
      <c r="D9" s="298"/>
      <c r="E9" s="298"/>
      <c r="G9" s="6" t="s">
        <v>43</v>
      </c>
      <c r="H9" s="341" t="s">
        <v>32</v>
      </c>
      <c r="I9" s="341"/>
      <c r="J9" s="100"/>
      <c r="L9" s="20"/>
      <c r="M9" s="2">
        <v>5</v>
      </c>
      <c r="N9" s="18" t="str">
        <f>O9&amp;" "&amp;"mm"&amp;"     -    "&amp;P9</f>
        <v>5 mm     -    Incoloro</v>
      </c>
      <c r="O9" s="1">
        <v>5</v>
      </c>
      <c r="P9" s="1" t="s">
        <v>8</v>
      </c>
      <c r="Q9" s="1"/>
      <c r="R9" s="2" t="s">
        <v>14</v>
      </c>
      <c r="T9" s="1" t="s">
        <v>6</v>
      </c>
      <c r="U9" s="1"/>
      <c r="V9" s="18" t="s">
        <v>10</v>
      </c>
    </row>
    <row r="10" spans="2:22" ht="21" customHeight="1" x14ac:dyDescent="0.2">
      <c r="B10" s="149"/>
      <c r="C10" s="298"/>
      <c r="D10" s="298"/>
      <c r="E10" s="298"/>
      <c r="G10" s="6" t="s">
        <v>226</v>
      </c>
      <c r="H10" s="303" t="s">
        <v>227</v>
      </c>
      <c r="I10" s="303"/>
      <c r="J10" s="99"/>
      <c r="M10" s="2">
        <v>6</v>
      </c>
      <c r="N10" s="18" t="str">
        <f>O10&amp;" "&amp;"mm"&amp;"     -    "&amp;P10</f>
        <v>6 mm     -    Incoloro</v>
      </c>
      <c r="O10" s="1">
        <v>6</v>
      </c>
      <c r="P10" s="1" t="s">
        <v>8</v>
      </c>
      <c r="Q10" s="1"/>
      <c r="R10" s="2" t="s">
        <v>22</v>
      </c>
      <c r="T10" s="1" t="s">
        <v>6</v>
      </c>
      <c r="U10" s="1"/>
      <c r="V10" s="18" t="s">
        <v>10</v>
      </c>
    </row>
    <row r="11" spans="2:22" ht="21" customHeight="1" x14ac:dyDescent="0.2">
      <c r="B11" s="149"/>
      <c r="C11" s="298"/>
      <c r="D11" s="298"/>
      <c r="E11" s="298"/>
      <c r="G11" s="6" t="s">
        <v>51</v>
      </c>
      <c r="H11" s="295" t="s">
        <v>71</v>
      </c>
      <c r="I11" s="295"/>
      <c r="J11" s="102"/>
      <c r="K11" s="21"/>
      <c r="L11" s="22"/>
      <c r="M11" s="2">
        <v>6</v>
      </c>
      <c r="N11" s="18" t="str">
        <f>O11&amp;" "&amp;"mm"&amp;"     -    "&amp;P11</f>
        <v>6 mm     -    Laminado</v>
      </c>
      <c r="O11" s="1">
        <v>6</v>
      </c>
      <c r="P11" s="1" t="s">
        <v>28</v>
      </c>
      <c r="Q11" s="1"/>
      <c r="R11" s="2" t="s">
        <v>29</v>
      </c>
      <c r="T11" s="1" t="s">
        <v>6</v>
      </c>
      <c r="U11" s="1"/>
      <c r="V11" s="18" t="s">
        <v>10</v>
      </c>
    </row>
    <row r="12" spans="2:22" ht="15" customHeight="1" thickBot="1" x14ac:dyDescent="0.25">
      <c r="B12" s="153"/>
      <c r="C12" s="298"/>
      <c r="D12" s="298"/>
      <c r="E12" s="298"/>
      <c r="G12" s="6" t="s">
        <v>55</v>
      </c>
      <c r="H12" s="7">
        <f>D13*B8/1000000</f>
        <v>1</v>
      </c>
      <c r="I12" s="8" t="s">
        <v>228</v>
      </c>
      <c r="J12" s="102"/>
      <c r="L12" s="23"/>
      <c r="M12" s="2">
        <v>8</v>
      </c>
      <c r="N12" s="18" t="str">
        <f t="shared" ref="N12:N19" si="0">O12&amp;" "&amp;"mm"&amp;"   -    "&amp;P12</f>
        <v>18 mm   -    4 inc+10+4 inc</v>
      </c>
      <c r="O12" s="1">
        <v>18</v>
      </c>
      <c r="P12" s="1" t="s">
        <v>36</v>
      </c>
      <c r="Q12" s="1"/>
      <c r="R12" s="2" t="s">
        <v>37</v>
      </c>
      <c r="T12" s="1" t="s">
        <v>38</v>
      </c>
      <c r="U12" s="1"/>
      <c r="V12" s="18" t="s">
        <v>39</v>
      </c>
    </row>
    <row r="13" spans="2:22" ht="21" customHeight="1" thickBot="1" x14ac:dyDescent="0.25">
      <c r="B13" s="95"/>
      <c r="C13" s="201">
        <f>D13/2</f>
        <v>500</v>
      </c>
      <c r="D13" s="200">
        <f>D15/2</f>
        <v>1000</v>
      </c>
      <c r="E13" s="199">
        <f>D13/2</f>
        <v>500</v>
      </c>
      <c r="G13" s="6" t="s">
        <v>59</v>
      </c>
      <c r="H13" s="39">
        <v>1</v>
      </c>
      <c r="I13" s="8" t="s">
        <v>60</v>
      </c>
      <c r="J13" s="102"/>
      <c r="M13" s="2">
        <v>8</v>
      </c>
      <c r="N13" s="18" t="str">
        <f t="shared" si="0"/>
        <v>18 mm   -    4 inc+10+4 sat</v>
      </c>
      <c r="O13" s="1">
        <v>18</v>
      </c>
      <c r="P13" s="1" t="s">
        <v>45</v>
      </c>
      <c r="Q13" s="1"/>
      <c r="R13" s="2" t="s">
        <v>46</v>
      </c>
      <c r="T13" s="1" t="s">
        <v>38</v>
      </c>
      <c r="U13" s="1"/>
      <c r="V13" s="18" t="s">
        <v>39</v>
      </c>
    </row>
    <row r="14" spans="2:22" ht="21" customHeight="1" thickBot="1" x14ac:dyDescent="0.25">
      <c r="B14" s="95"/>
      <c r="G14" s="57" t="s">
        <v>262</v>
      </c>
      <c r="H14" s="54">
        <f>IF(H11=N6,((B8*C13/1000000)*M6*2.54*1.3),IF(H11=N7,((B8*C13/1000000)*M7*2.54*1.3),IF(H11=N8,((B8*C13/1000000)*M8*2.54*1.3),IF(H11=N9,((B8*C13/1000000)*M9*2.54*1.3),IF(H11=N10,((B8*C13/1000000)*M10*2.54*1.3),IF(H11=N11,((B8*C13/1000000)*M11*2.54*1.3),IF(H11=N12,((B8*C13/1000000)*M12*2.54*1.3),IF(H11=N13,((B8*C13/1000000)*M13*2.54*1.3),IF(H11=N14,((B8*C13/1000000)*M14*2.54*1.3),IF(H11=N15,((B8*C13/1000000)*M15*2.54*1.3),IF(H11=N17,((B8*C13/1000000)*M17*2.54*1.3),IF(H11=N18,((B8*C13/1000000)*M18*2.54*1.3),IF(H11=N19,((B8*C13/1000000)*M19*2.54*1.3),IF(H11=N20,((B8*C13/1000000)*M20*2.54*1.3)))))))))))))))</f>
        <v>19.812000000000001</v>
      </c>
      <c r="J14" s="155"/>
      <c r="M14" s="2">
        <v>10</v>
      </c>
      <c r="N14" s="18" t="str">
        <f t="shared" si="0"/>
        <v>18 mm   -    5 inc+8+5 inc</v>
      </c>
      <c r="O14" s="1">
        <v>18</v>
      </c>
      <c r="P14" s="1" t="s">
        <v>48</v>
      </c>
      <c r="Q14" s="1"/>
      <c r="R14" s="2" t="s">
        <v>49</v>
      </c>
      <c r="T14" s="1" t="s">
        <v>38</v>
      </c>
      <c r="U14" s="1"/>
      <c r="V14" s="18" t="s">
        <v>39</v>
      </c>
    </row>
    <row r="15" spans="2:22" ht="18.75" customHeight="1" thickBot="1" x14ac:dyDescent="0.25">
      <c r="B15" s="156"/>
      <c r="C15" s="157"/>
      <c r="D15" s="198">
        <v>2000</v>
      </c>
      <c r="E15" s="159"/>
      <c r="F15" s="157"/>
      <c r="G15" s="108" t="s">
        <v>230</v>
      </c>
      <c r="H15" s="109">
        <f>IF(H11=N6,((B8*D13/1000000)*M6*2.54*1.3),IF(H11=N7,((B8*D13/1000000)*M7*2.54*1.3),IF(H11=N8,((B8*D13/1000000)*M8*2.54*1.3),IF(H11=N9,((B8*D13/1000000)*M9*2.54*1.3),IF(H11=N10,((B8*D13/1000000)*M10*2.54*1.3),IF(H11=N11,((B8*D13/1000000)*M11*2.54*1.3),IF(H11=N12,((B8*D13/1000000)*M12*2.54*1.3),IF(H11=N13,((B8*D13/1000000)*M13*2.54*1.3),IF(H11=N14,((B8*D13/1000000)*M14*2.54*1.3),IF(H11=N15,((B8*D13/1000000)*M15*2.54*1.3),IF(H11=N17,((B8*D13/1000000)*M17*2.54*1.3),IF(H11=N18,((B8*D13/1000000)*M18*2.54*1.3),IF(H11=N19,((B8*D13/1000000)*M19*2.54*1.3),IF(H11=N20,((B8*D13/1000000)*M20*2.54*1.3)))))))))))))))</f>
        <v>39.624000000000002</v>
      </c>
      <c r="I15" s="157"/>
      <c r="J15" s="160"/>
      <c r="M15" s="2">
        <v>9</v>
      </c>
      <c r="N15" s="18" t="str">
        <f t="shared" si="0"/>
        <v>19 mm   -    4 inc+10+5 inc</v>
      </c>
      <c r="O15" s="1">
        <v>19</v>
      </c>
      <c r="P15" s="1" t="s">
        <v>53</v>
      </c>
      <c r="Q15" s="1"/>
      <c r="R15" s="2" t="s">
        <v>54</v>
      </c>
      <c r="T15" s="1" t="s">
        <v>38</v>
      </c>
      <c r="U15" s="1"/>
      <c r="V15" s="18" t="s">
        <v>39</v>
      </c>
    </row>
    <row r="16" spans="2:22" ht="18.75" customHeight="1" thickBot="1" x14ac:dyDescent="0.25">
      <c r="D16" s="25"/>
      <c r="E16" s="26"/>
      <c r="G16" s="89"/>
      <c r="H16" s="90"/>
      <c r="N16" s="18"/>
      <c r="O16" s="1"/>
      <c r="P16" s="1"/>
      <c r="Q16" s="1"/>
      <c r="R16" s="2"/>
      <c r="T16" s="1"/>
      <c r="U16" s="1"/>
      <c r="V16" s="18"/>
    </row>
    <row r="17" spans="2:22" s="3" customFormat="1" ht="21" customHeight="1" thickBot="1" x14ac:dyDescent="0.25">
      <c r="B17" s="172"/>
      <c r="C17" s="368" t="s">
        <v>66</v>
      </c>
      <c r="D17" s="369"/>
      <c r="E17" s="370"/>
      <c r="F17" s="116" t="s">
        <v>67</v>
      </c>
      <c r="G17" s="116" t="s">
        <v>68</v>
      </c>
      <c r="H17" s="368" t="s">
        <v>69</v>
      </c>
      <c r="I17" s="370"/>
      <c r="J17" s="116" t="s">
        <v>70</v>
      </c>
      <c r="M17" s="2">
        <v>11</v>
      </c>
      <c r="N17" s="18" t="str">
        <f t="shared" si="0"/>
        <v>19 mm   -    5 inc+8+6 inc</v>
      </c>
      <c r="O17" s="1">
        <v>19</v>
      </c>
      <c r="P17" s="1" t="s">
        <v>57</v>
      </c>
      <c r="Q17" s="1"/>
      <c r="R17" s="2" t="s">
        <v>58</v>
      </c>
      <c r="S17" s="1"/>
      <c r="T17" s="1" t="s">
        <v>38</v>
      </c>
      <c r="U17" s="1"/>
      <c r="V17" s="18" t="s">
        <v>39</v>
      </c>
    </row>
    <row r="18" spans="2:22" ht="15" customHeight="1" x14ac:dyDescent="0.2">
      <c r="B18" s="164"/>
      <c r="C18" s="371" t="s">
        <v>263</v>
      </c>
      <c r="D18" s="371"/>
      <c r="E18" s="371"/>
      <c r="F18" s="173">
        <f>H13*2</f>
        <v>2</v>
      </c>
      <c r="G18" s="174">
        <f>D15+5</f>
        <v>2005</v>
      </c>
      <c r="H18" s="173" t="s">
        <v>75</v>
      </c>
      <c r="I18" s="173" t="s">
        <v>75</v>
      </c>
      <c r="J18" s="175" t="s">
        <v>76</v>
      </c>
      <c r="M18" s="2">
        <v>11</v>
      </c>
      <c r="N18" s="18" t="str">
        <f t="shared" si="0"/>
        <v>19 mm   -    5 inc+8+6 lam</v>
      </c>
      <c r="O18" s="1">
        <v>19</v>
      </c>
      <c r="P18" s="1" t="s">
        <v>61</v>
      </c>
      <c r="Q18" s="1"/>
      <c r="R18" s="2" t="s">
        <v>62</v>
      </c>
      <c r="T18" s="1" t="s">
        <v>38</v>
      </c>
      <c r="U18" s="1"/>
      <c r="V18" s="18" t="s">
        <v>39</v>
      </c>
    </row>
    <row r="19" spans="2:22" ht="15" customHeight="1" x14ac:dyDescent="0.2">
      <c r="B19" s="164"/>
      <c r="C19" s="347" t="s">
        <v>263</v>
      </c>
      <c r="D19" s="347"/>
      <c r="E19" s="347"/>
      <c r="F19" s="87">
        <f>F18</f>
        <v>2</v>
      </c>
      <c r="G19" s="28">
        <f>B8+5</f>
        <v>1005</v>
      </c>
      <c r="H19" s="87" t="s">
        <v>75</v>
      </c>
      <c r="I19" s="87" t="s">
        <v>75</v>
      </c>
      <c r="J19" s="165" t="s">
        <v>77</v>
      </c>
      <c r="M19" s="2">
        <v>10</v>
      </c>
      <c r="N19" s="18" t="str">
        <f t="shared" si="0"/>
        <v>20 mm   -    4 inc+10+6 lam</v>
      </c>
      <c r="O19" s="1">
        <v>20</v>
      </c>
      <c r="P19" s="1" t="s">
        <v>64</v>
      </c>
      <c r="Q19" s="1"/>
      <c r="R19" s="2" t="s">
        <v>65</v>
      </c>
      <c r="T19" s="1" t="s">
        <v>38</v>
      </c>
      <c r="U19" s="1"/>
      <c r="V19" s="18" t="s">
        <v>39</v>
      </c>
    </row>
    <row r="20" spans="2:22" ht="15" customHeight="1" x14ac:dyDescent="0.2">
      <c r="B20" s="166"/>
      <c r="C20" s="347" t="s">
        <v>264</v>
      </c>
      <c r="D20" s="347"/>
      <c r="E20" s="347"/>
      <c r="F20" s="87">
        <f>$H$13*2</f>
        <v>2</v>
      </c>
      <c r="G20" s="28">
        <f>G18-85</f>
        <v>1920</v>
      </c>
      <c r="H20" s="87" t="s">
        <v>83</v>
      </c>
      <c r="I20" s="87" t="s">
        <v>83</v>
      </c>
      <c r="J20" s="165" t="s">
        <v>76</v>
      </c>
      <c r="M20" s="2">
        <v>12</v>
      </c>
      <c r="N20" s="2" t="s">
        <v>71</v>
      </c>
      <c r="O20" s="12">
        <v>22</v>
      </c>
      <c r="P20" s="1" t="s">
        <v>72</v>
      </c>
      <c r="R20" s="2" t="s">
        <v>73</v>
      </c>
      <c r="T20" s="12" t="s">
        <v>232</v>
      </c>
      <c r="V20" s="18" t="s">
        <v>233</v>
      </c>
    </row>
    <row r="21" spans="2:22" ht="15" customHeight="1" x14ac:dyDescent="0.2">
      <c r="B21" s="166"/>
      <c r="C21" s="347" t="s">
        <v>264</v>
      </c>
      <c r="D21" s="347"/>
      <c r="E21" s="347"/>
      <c r="F21" s="87">
        <f>$H$13*2</f>
        <v>2</v>
      </c>
      <c r="G21" s="28">
        <f>G19-85</f>
        <v>920</v>
      </c>
      <c r="H21" s="87" t="s">
        <v>83</v>
      </c>
      <c r="I21" s="87" t="s">
        <v>83</v>
      </c>
      <c r="J21" s="165" t="s">
        <v>77</v>
      </c>
      <c r="O21" s="1"/>
      <c r="Q21" s="1"/>
      <c r="R21" s="18" t="s">
        <v>225</v>
      </c>
      <c r="T21" s="1" t="s">
        <v>6</v>
      </c>
    </row>
    <row r="22" spans="2:22" ht="15" customHeight="1" x14ac:dyDescent="0.2">
      <c r="B22" s="164"/>
      <c r="C22" s="347" t="s">
        <v>210</v>
      </c>
      <c r="D22" s="347"/>
      <c r="E22" s="347"/>
      <c r="F22" s="87">
        <f>H13*4</f>
        <v>4</v>
      </c>
      <c r="G22" s="28">
        <f>D15/4+63</f>
        <v>563</v>
      </c>
      <c r="H22" s="87" t="s">
        <v>75</v>
      </c>
      <c r="I22" s="87" t="s">
        <v>75</v>
      </c>
      <c r="J22" s="165" t="s">
        <v>265</v>
      </c>
      <c r="O22" s="1"/>
      <c r="Q22" s="1"/>
      <c r="R22" s="18" t="s">
        <v>235</v>
      </c>
      <c r="T22" s="1" t="s">
        <v>38</v>
      </c>
    </row>
    <row r="23" spans="2:22" ht="15" customHeight="1" x14ac:dyDescent="0.2">
      <c r="B23" s="164"/>
      <c r="C23" s="347" t="s">
        <v>210</v>
      </c>
      <c r="D23" s="347"/>
      <c r="E23" s="347"/>
      <c r="F23" s="87">
        <f>$H$13*2</f>
        <v>2</v>
      </c>
      <c r="G23" s="28">
        <f>D15/2+5</f>
        <v>1005</v>
      </c>
      <c r="H23" s="87" t="s">
        <v>75</v>
      </c>
      <c r="I23" s="87" t="s">
        <v>75</v>
      </c>
      <c r="J23" s="165" t="s">
        <v>236</v>
      </c>
      <c r="R23" s="5" t="s">
        <v>237</v>
      </c>
      <c r="T23" s="2">
        <v>18291820</v>
      </c>
    </row>
    <row r="24" spans="2:22" ht="15" customHeight="1" x14ac:dyDescent="0.2">
      <c r="B24" s="164"/>
      <c r="C24" s="347" t="s">
        <v>210</v>
      </c>
      <c r="D24" s="347"/>
      <c r="E24" s="347"/>
      <c r="F24" s="87">
        <f>H13*6</f>
        <v>6</v>
      </c>
      <c r="G24" s="28">
        <f>B8-75</f>
        <v>925</v>
      </c>
      <c r="H24" s="87" t="s">
        <v>75</v>
      </c>
      <c r="I24" s="87" t="s">
        <v>75</v>
      </c>
      <c r="J24" s="165" t="s">
        <v>266</v>
      </c>
    </row>
    <row r="25" spans="2:22" ht="15" customHeight="1" x14ac:dyDescent="0.2">
      <c r="B25" s="166"/>
      <c r="C25" s="347" t="str">
        <f>IF(G19 &gt;= 2500, "REFUERZO BOX CON INCLINACION","REFUERZO HOJA CORREDERA 98 2 MM")</f>
        <v>REFUERZO HOJA CORREDERA 98 2 MM</v>
      </c>
      <c r="D25" s="347"/>
      <c r="E25" s="347"/>
      <c r="F25" s="87">
        <f>H13*4</f>
        <v>4</v>
      </c>
      <c r="G25" s="28">
        <f>G22-185</f>
        <v>378</v>
      </c>
      <c r="H25" s="87" t="s">
        <v>83</v>
      </c>
      <c r="I25" s="87" t="s">
        <v>83</v>
      </c>
      <c r="J25" s="165" t="s">
        <v>265</v>
      </c>
    </row>
    <row r="26" spans="2:22" ht="15" customHeight="1" x14ac:dyDescent="0.2">
      <c r="B26" s="166"/>
      <c r="C26" s="347" t="str">
        <f>C25</f>
        <v>REFUERZO HOJA CORREDERA 98 2 MM</v>
      </c>
      <c r="D26" s="347"/>
      <c r="E26" s="347"/>
      <c r="F26" s="87">
        <f>$H$13*2</f>
        <v>2</v>
      </c>
      <c r="G26" s="28">
        <f>G23-185</f>
        <v>820</v>
      </c>
      <c r="H26" s="87" t="s">
        <v>83</v>
      </c>
      <c r="I26" s="87" t="s">
        <v>83</v>
      </c>
      <c r="J26" s="165" t="s">
        <v>236</v>
      </c>
    </row>
    <row r="27" spans="2:22" ht="15" customHeight="1" x14ac:dyDescent="0.2">
      <c r="B27" s="166"/>
      <c r="C27" s="347" t="str">
        <f>C26</f>
        <v>REFUERZO HOJA CORREDERA 98 2 MM</v>
      </c>
      <c r="D27" s="347"/>
      <c r="E27" s="347"/>
      <c r="F27" s="87">
        <f>H13*6</f>
        <v>6</v>
      </c>
      <c r="G27" s="28">
        <f>G24-185</f>
        <v>740</v>
      </c>
      <c r="H27" s="87" t="s">
        <v>83</v>
      </c>
      <c r="I27" s="87" t="s">
        <v>83</v>
      </c>
      <c r="J27" s="165" t="s">
        <v>266</v>
      </c>
    </row>
    <row r="28" spans="2:22" ht="15" customHeight="1" x14ac:dyDescent="0.2">
      <c r="B28" s="166"/>
      <c r="C28" s="356" t="s">
        <v>104</v>
      </c>
      <c r="D28" s="357"/>
      <c r="E28" s="358"/>
      <c r="F28" s="87">
        <f>IF(G19&gt;=2300,4,0)</f>
        <v>0</v>
      </c>
      <c r="G28" s="28">
        <f>IF(F28&gt;=1,G24-80-80-25,0)</f>
        <v>0</v>
      </c>
      <c r="H28" s="87" t="s">
        <v>83</v>
      </c>
      <c r="I28" s="87" t="s">
        <v>83</v>
      </c>
      <c r="J28" s="165" t="s">
        <v>219</v>
      </c>
    </row>
    <row r="29" spans="2:22" ht="15" customHeight="1" x14ac:dyDescent="0.2">
      <c r="B29" s="164"/>
      <c r="C29" s="347" t="s">
        <v>213</v>
      </c>
      <c r="D29" s="347"/>
      <c r="E29" s="347"/>
      <c r="F29" s="87">
        <f>F19*2</f>
        <v>4</v>
      </c>
      <c r="G29" s="28">
        <f>G24-7</f>
        <v>918</v>
      </c>
      <c r="H29" s="87" t="s">
        <v>83</v>
      </c>
      <c r="I29" s="87" t="s">
        <v>83</v>
      </c>
      <c r="J29" s="165" t="s">
        <v>238</v>
      </c>
    </row>
    <row r="30" spans="2:22" ht="15" customHeight="1" x14ac:dyDescent="0.2">
      <c r="B30" s="166"/>
      <c r="C30" s="350" t="str">
        <f>VLOOKUP(C37,R6:Y20,5,0)</f>
        <v>JUNQUILLO PARA TERMOPANEL 20-22 MM</v>
      </c>
      <c r="D30" s="350"/>
      <c r="E30" s="350"/>
      <c r="F30" s="88">
        <f>H13*4</f>
        <v>4</v>
      </c>
      <c r="G30" s="31">
        <f>G22-165</f>
        <v>398</v>
      </c>
      <c r="H30" s="88" t="s">
        <v>75</v>
      </c>
      <c r="I30" s="88" t="s">
        <v>75</v>
      </c>
      <c r="J30" s="167" t="s">
        <v>268</v>
      </c>
    </row>
    <row r="31" spans="2:22" ht="15" customHeight="1" x14ac:dyDescent="0.2">
      <c r="B31" s="166"/>
      <c r="C31" s="350" t="str">
        <f>VLOOKUP(C37,R6:Y20,5,0)</f>
        <v>JUNQUILLO PARA TERMOPANEL 20-22 MM</v>
      </c>
      <c r="D31" s="350"/>
      <c r="E31" s="350"/>
      <c r="F31" s="88">
        <f>H13*2</f>
        <v>2</v>
      </c>
      <c r="G31" s="31">
        <f>G23-165</f>
        <v>840</v>
      </c>
      <c r="H31" s="88" t="s">
        <v>75</v>
      </c>
      <c r="I31" s="88" t="s">
        <v>75</v>
      </c>
      <c r="J31" s="167" t="s">
        <v>236</v>
      </c>
    </row>
    <row r="32" spans="2:22" ht="12.65" customHeight="1" x14ac:dyDescent="0.2">
      <c r="B32" s="166"/>
      <c r="C32" s="350" t="str">
        <f>VLOOKUP(C37,R6:Y20,5,0)</f>
        <v>JUNQUILLO PARA TERMOPANEL 20-22 MM</v>
      </c>
      <c r="D32" s="350"/>
      <c r="E32" s="350"/>
      <c r="F32" s="88">
        <f>$H$13*6</f>
        <v>6</v>
      </c>
      <c r="G32" s="31">
        <f>G24-165</f>
        <v>760</v>
      </c>
      <c r="H32" s="88" t="s">
        <v>75</v>
      </c>
      <c r="I32" s="88" t="s">
        <v>75</v>
      </c>
      <c r="J32" s="167" t="s">
        <v>266</v>
      </c>
    </row>
    <row r="33" spans="2:12" ht="18" customHeight="1" thickBot="1" x14ac:dyDescent="0.25">
      <c r="B33" s="168"/>
      <c r="C33" s="349" t="s">
        <v>239</v>
      </c>
      <c r="D33" s="349"/>
      <c r="E33" s="349"/>
      <c r="F33" s="124">
        <f>H13*2</f>
        <v>2</v>
      </c>
      <c r="G33" s="169">
        <f>D15-48-48-1</f>
        <v>1903</v>
      </c>
      <c r="H33" s="124" t="s">
        <v>83</v>
      </c>
      <c r="I33" s="124" t="s">
        <v>83</v>
      </c>
      <c r="J33" s="125" t="s">
        <v>111</v>
      </c>
    </row>
    <row r="34" spans="2:12" ht="18" customHeight="1" thickBot="1" x14ac:dyDescent="0.25"/>
    <row r="35" spans="2:12" ht="18" customHeight="1" thickBot="1" x14ac:dyDescent="0.25">
      <c r="B35" s="117" t="str">
        <f>G11</f>
        <v>Vidrio:</v>
      </c>
      <c r="C35" s="118"/>
      <c r="D35" s="118"/>
      <c r="E35" s="118"/>
      <c r="F35" s="118"/>
      <c r="G35" s="118"/>
      <c r="H35" s="118"/>
      <c r="I35" s="118"/>
      <c r="J35" s="119"/>
      <c r="K35" s="29"/>
      <c r="L35" s="30"/>
    </row>
    <row r="36" spans="2:12" ht="18" customHeight="1" x14ac:dyDescent="0.2">
      <c r="B36" s="120" t="s">
        <v>120</v>
      </c>
      <c r="C36" s="348" t="s">
        <v>121</v>
      </c>
      <c r="D36" s="348"/>
      <c r="E36" s="348"/>
      <c r="F36" s="348"/>
      <c r="G36" s="42" t="s">
        <v>122</v>
      </c>
      <c r="H36" s="42" t="s">
        <v>123</v>
      </c>
      <c r="I36" s="42" t="s">
        <v>124</v>
      </c>
      <c r="J36" s="121" t="s">
        <v>125</v>
      </c>
    </row>
    <row r="37" spans="2:12" ht="18" customHeight="1" x14ac:dyDescent="0.2">
      <c r="B37" s="166" t="str">
        <f>VLOOKUP($H$11,$N$6:$R$20,3,0)</f>
        <v>6 inc+10+6 lam</v>
      </c>
      <c r="C37" s="347" t="str">
        <f>VLOOKUP(O5,N6:R20,5,0)</f>
        <v>Termopanel 6 mm Incoloro + 10 mm + 6 mm Incoloro Laminado</v>
      </c>
      <c r="D37" s="347"/>
      <c r="E37" s="347"/>
      <c r="F37" s="347"/>
      <c r="G37" s="11">
        <f>G22-175</f>
        <v>388</v>
      </c>
      <c r="H37" s="11">
        <f>G24-175</f>
        <v>750</v>
      </c>
      <c r="I37" s="87">
        <v>2</v>
      </c>
      <c r="J37" s="165" t="s">
        <v>269</v>
      </c>
    </row>
    <row r="38" spans="2:12" ht="18" customHeight="1" thickBot="1" x14ac:dyDescent="0.25">
      <c r="B38" s="122" t="str">
        <f>VLOOKUP($H$11,$N$6:$R$20,3,0)</f>
        <v>6 inc+10+6 lam</v>
      </c>
      <c r="C38" s="349" t="str">
        <f>VLOOKUP(O5,N6:R20,5,0)</f>
        <v>Termopanel 6 mm Incoloro + 10 mm + 6 mm Incoloro Laminado</v>
      </c>
      <c r="D38" s="349"/>
      <c r="E38" s="349"/>
      <c r="F38" s="349"/>
      <c r="G38" s="123">
        <f>G23-175</f>
        <v>830</v>
      </c>
      <c r="H38" s="123">
        <f>G24-175</f>
        <v>750</v>
      </c>
      <c r="I38" s="124">
        <v>1</v>
      </c>
      <c r="J38" s="125" t="s">
        <v>241</v>
      </c>
    </row>
    <row r="39" spans="2:12" ht="18" customHeight="1" thickBot="1" x14ac:dyDescent="0.25"/>
    <row r="40" spans="2:12" ht="18" customHeight="1" thickBot="1" x14ac:dyDescent="0.25">
      <c r="B40" s="363" t="s">
        <v>66</v>
      </c>
      <c r="C40" s="364"/>
      <c r="D40" s="365"/>
      <c r="E40" s="176" t="s">
        <v>70</v>
      </c>
      <c r="F40" s="187" t="s">
        <v>67</v>
      </c>
      <c r="G40" s="116" t="s">
        <v>133</v>
      </c>
      <c r="H40" s="262" t="s">
        <v>134</v>
      </c>
      <c r="I40" s="263"/>
      <c r="J40" s="116" t="s">
        <v>124</v>
      </c>
    </row>
    <row r="41" spans="2:12" ht="18" customHeight="1" x14ac:dyDescent="0.2">
      <c r="B41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E15 800mm</v>
      </c>
      <c r="C41" s="276"/>
      <c r="D41" s="276"/>
      <c r="E41" s="177"/>
      <c r="F41" s="170">
        <f>H13*2</f>
        <v>2</v>
      </c>
      <c r="G41" s="219" t="s">
        <v>138</v>
      </c>
      <c r="H41" s="366" t="s">
        <v>139</v>
      </c>
      <c r="I41" s="367"/>
      <c r="J41" s="170">
        <f>F45*2</f>
        <v>8</v>
      </c>
    </row>
    <row r="42" spans="2:12" ht="18" customHeight="1" x14ac:dyDescent="0.2">
      <c r="B42" s="266" t="str">
        <f>IF(AND(H14&gt;=0,H14&lt;=60),'Hoja1 (2)'!D5,IF(AND(H14&gt;=60.1,H14&lt;=120),'Hoja1 (2)'!D6,IF(AND(H14&gt;=120.1,'Dobleriel S75 simetrica hoja 80'!D44&lt;=230),'Hoja1 (2)'!D3,)))</f>
        <v>CARRO CELSUS 60 KG REGULABLE</v>
      </c>
      <c r="C42" s="267"/>
      <c r="D42" s="267"/>
      <c r="E42" s="41" t="s">
        <v>270</v>
      </c>
      <c r="F42" s="126">
        <f>H13*4</f>
        <v>4</v>
      </c>
      <c r="G42" s="214" t="s">
        <v>142</v>
      </c>
      <c r="H42" s="361" t="s">
        <v>143</v>
      </c>
      <c r="I42" s="362"/>
      <c r="J42" s="131">
        <f>IF(B41='Hoja1 (2)'!A10,2*'Dobleriel S75asimetrica hoja 80'!F41,IF(B41='Hoja1 (2)'!A11,4*'Dobleriel S75asimetrica hoja 80'!F41,IF(B41='Hoja1 (2)'!A12,8*'Dobleriel S75asimetrica hoja 80'!F41,IF(B41='Hoja1 (2)'!A13,8*'Dobleriel S75asimetrica hoja 80'!F41,IF(B41='Hoja1 (2)'!A14,8*'Dobleriel S75asimetrica hoja 80'!F41,IF(B41='Hoja1 (2)'!A15,10*'Dobleriel S75asimetrica hoja 80'!F41,IF(B41='Hoja1 (2)'!A16,10*'Dobleriel S75asimetrica hoja 80'!F41,IF(B41='Hoja1 (2)'!A17,12*'Dobleriel S75asimetrica hoja 80'!F41,IF(B41='Hoja1 (2)'!A18,12*'Dobleriel S75asimetrica hoja 80'!F41,IF(B41='Hoja1 (2)'!A19,12*'Dobleriel S75asimetrica hoja 80'!F41))))))))))</f>
        <v>16</v>
      </c>
    </row>
    <row r="43" spans="2:12" ht="18" customHeight="1" x14ac:dyDescent="0.2">
      <c r="B43" s="266" t="str">
        <f>IF(AND(H15&gt;=0,H15&lt;=60),'Hoja1 (2)'!D5,IF(AND(H15&gt;=61,H15&lt;=120),'Hoja1 (2)'!D6,IF(AND(H15&gt;=121,'Dobleriel S75 simetrica hoja 80'!E45&lt;=230),'Hoja1 (2)'!D3,)))</f>
        <v>CARRO CELSUS 60 KG REGULABLE</v>
      </c>
      <c r="C43" s="267"/>
      <c r="D43" s="267"/>
      <c r="E43" s="41" t="s">
        <v>243</v>
      </c>
      <c r="F43" s="126">
        <f>H13*2</f>
        <v>2</v>
      </c>
      <c r="G43" s="214" t="s">
        <v>146</v>
      </c>
      <c r="H43" s="361" t="s">
        <v>147</v>
      </c>
      <c r="I43" s="362"/>
      <c r="J43" s="132">
        <f>((B8/250)*2+(D13/250)*2+(B8/250)*4+(D13/250)*2)*H13</f>
        <v>40</v>
      </c>
    </row>
    <row r="44" spans="2:12" ht="18" customHeight="1" x14ac:dyDescent="0.2">
      <c r="B44" s="266" t="str">
        <f>IF(H9='Hoja1 (2)'!V3,'Hoja1 (2)'!B3,IF(H9='Hoja1 (2)'!V4,'Hoja1 (2)'!B4,IF(H9='Hoja1 (2)'!V5,'Hoja1 (2)'!B4,IF(H9='Hoja1 (2)'!V6,'Hoja1 (2)'!B5,IF(H9='Hoja1 (2)'!V7,'Hoja1 (2)'!B5)))))</f>
        <v>MANILLA ALUMINIO VENTANA BLANCO</v>
      </c>
      <c r="C44" s="267"/>
      <c r="D44" s="267"/>
      <c r="E44" s="41"/>
      <c r="F44" s="126">
        <f>F41</f>
        <v>2</v>
      </c>
      <c r="G44" s="214" t="s">
        <v>151</v>
      </c>
      <c r="H44" s="361" t="s">
        <v>152</v>
      </c>
      <c r="I44" s="362"/>
      <c r="J44" s="132">
        <f>((B8*2)/500+(D15*2)/500)*H13</f>
        <v>12</v>
      </c>
    </row>
    <row r="45" spans="2:12" ht="18" customHeight="1" x14ac:dyDescent="0.2">
      <c r="B45" s="285" t="s">
        <v>150</v>
      </c>
      <c r="C45" s="270"/>
      <c r="D45" s="270"/>
      <c r="E45" s="41"/>
      <c r="F45" s="126">
        <f>IF(B41='Hoja1 (2)'!A10,1*2*H13,IF(B41='Hoja1 (2)'!A11,2*2*H13,IF(B41='Hoja1 (2)'!A12,2*2*H13,IF(B41='Hoja1 (2)'!A13,2*2*H13,IF(B41='Hoja1 (2)'!A14,3*2*H13,IF(B41='Hoja1 (2)'!A15,3*2*H13,IF(B41='Hoja1 (2)'!A16,3*2*H13,IF(B41='Hoja1 (2)'!A17,4*2*H13,IF(B41='Hoja1 (2)'!A18,4*2*H13,IF(B41='Hoja1 (2)'!A19,4*2*H13))))))))))</f>
        <v>4</v>
      </c>
      <c r="G45" s="214" t="s">
        <v>156</v>
      </c>
      <c r="H45" s="361" t="s">
        <v>157</v>
      </c>
      <c r="I45" s="362"/>
      <c r="J45" s="126">
        <f>F47*2</f>
        <v>8</v>
      </c>
    </row>
    <row r="46" spans="2:12" ht="18" customHeight="1" x14ac:dyDescent="0.2">
      <c r="B46" s="266" t="s">
        <v>155</v>
      </c>
      <c r="C46" s="267"/>
      <c r="D46" s="267"/>
      <c r="E46" s="41"/>
      <c r="F46" s="126">
        <f>F41</f>
        <v>2</v>
      </c>
      <c r="G46" s="216" t="s">
        <v>160</v>
      </c>
      <c r="H46" s="385" t="s">
        <v>157</v>
      </c>
      <c r="I46" s="386"/>
      <c r="J46" s="203">
        <f>IF(B42='Hoja1 (2)'!D4,H13*2*5,H13*2*2)+H13*5*2</f>
        <v>14</v>
      </c>
    </row>
    <row r="47" spans="2:12" ht="18" customHeight="1" x14ac:dyDescent="0.2">
      <c r="B47" s="266" t="str">
        <f>IF(H9='Hoja1 (2)'!V3,'Hoja1 (2)'!J7,IF(H9='Hoja1 (2)'!V4,'Hoja1 (2)'!J8,IF(H9='Hoja1 (2)'!V5,'Hoja1 (2)'!J8,IF(H9='Hoja1 (2)'!V6,'Hoja1 (2)'!J9,IF(H9='Hoja1 (2)'!V7,'Hoja1 (2)'!J9)))))</f>
        <v>TOPE ESTANCO S75 WINHOUSE BLANCO</v>
      </c>
      <c r="C47" s="267"/>
      <c r="D47" s="267"/>
      <c r="E47" s="41"/>
      <c r="F47" s="126">
        <f>H13*4</f>
        <v>4</v>
      </c>
      <c r="G47" s="214" t="s">
        <v>161</v>
      </c>
      <c r="H47" s="288" t="s">
        <v>162</v>
      </c>
      <c r="I47" s="288"/>
      <c r="J47" s="131">
        <f>F46*2</f>
        <v>4</v>
      </c>
    </row>
    <row r="48" spans="2:12" ht="18" customHeight="1" x14ac:dyDescent="0.2">
      <c r="B48" s="266" t="str">
        <f>IF(H9='Hoja1 (2)'!V3,'Hoja1 (2)'!J12,IF(H9='Hoja1 (2)'!V4,'Hoja1 (2)'!J13,IF(H9='Hoja1 (2)'!V5,'Hoja1 (2)'!J14,IF(H9='Hoja1 (2)'!V6,'Hoja1 (2)'!J16,IF(H9='Hoja1 (2)'!V7,'Hoja1 (2)'!J15)))))</f>
        <v>TAPA DESAGÜE BLANCO</v>
      </c>
      <c r="C48" s="267"/>
      <c r="D48" s="267"/>
      <c r="E48" s="41"/>
      <c r="F48" s="126">
        <f>IF(AND(D15&gt;=0,D15&lt;=800),H13*2,IF(AND(D15&gt;=801,D15&lt;=1500),H13*3,IF(D15&gt;=1501,H13*4)))</f>
        <v>4</v>
      </c>
      <c r="G48" s="214" t="s">
        <v>165</v>
      </c>
      <c r="H48" s="288" t="s">
        <v>166</v>
      </c>
      <c r="I48" s="288"/>
      <c r="J48" s="131">
        <f>F44*2</f>
        <v>4</v>
      </c>
    </row>
    <row r="49" spans="1:10" ht="18" customHeight="1" thickBot="1" x14ac:dyDescent="0.25">
      <c r="B49" s="266" t="str">
        <f>IF(H9='Hoja1 (2)'!V3,'Hoja1 (2)'!J20,IF(H9='Hoja1 (2)'!V4,'Hoja1 (2)'!J21,IF(H9='Hoja1 (2)'!V5,'Hoja1 (2)'!J21,IF(H9='Hoja1 (2)'!V6,'Hoja1 (2)'!J24,IF(H9='Hoja1 (2)'!V7,'Hoja1 (2)'!J24)))))</f>
        <v xml:space="preserve">TAPA TORNILLO AMO 3 BLANCO </v>
      </c>
      <c r="C49" s="267"/>
      <c r="D49" s="267"/>
      <c r="E49" s="41"/>
      <c r="F49" s="127">
        <f>J44</f>
        <v>12</v>
      </c>
      <c r="G49" s="215" t="s">
        <v>169</v>
      </c>
      <c r="H49" s="257" t="s">
        <v>170</v>
      </c>
      <c r="I49" s="257"/>
      <c r="J49" s="202">
        <f>F50*1</f>
        <v>2</v>
      </c>
    </row>
    <row r="50" spans="1:10" ht="18" customHeight="1" x14ac:dyDescent="0.2">
      <c r="B50" s="266" t="str">
        <f>IF(H9='Hoja1 (2)'!Q3,'Hoja1 (2)'!J28,'Hoja1 (2)'!J27)</f>
        <v xml:space="preserve">TOPE CORREDERA 90º BLANCO </v>
      </c>
      <c r="C50" s="267"/>
      <c r="D50" s="267"/>
      <c r="E50" s="41"/>
      <c r="F50" s="126">
        <f>H13*2</f>
        <v>2</v>
      </c>
      <c r="G50" s="2"/>
    </row>
    <row r="51" spans="1:10" ht="19.75" customHeight="1" x14ac:dyDescent="0.2">
      <c r="B51" s="264" t="s">
        <v>173</v>
      </c>
      <c r="C51" s="265"/>
      <c r="D51" s="265"/>
      <c r="E51" s="41"/>
      <c r="F51" s="126">
        <f>F41*2</f>
        <v>4</v>
      </c>
      <c r="G51" s="2"/>
    </row>
    <row r="52" spans="1:10" ht="16.399999999999999" customHeight="1" x14ac:dyDescent="0.2">
      <c r="A52" s="280"/>
      <c r="B52" s="258" t="s">
        <v>176</v>
      </c>
      <c r="C52" s="259"/>
      <c r="D52" s="259"/>
      <c r="E52" s="41" t="s">
        <v>177</v>
      </c>
      <c r="F52" s="128">
        <f>(((B8*6)+(D15*8))*H13)/1000</f>
        <v>22</v>
      </c>
      <c r="G52" s="2"/>
    </row>
    <row r="53" spans="1:10" ht="17.5" customHeight="1" x14ac:dyDescent="0.2">
      <c r="A53" s="280"/>
      <c r="B53" s="266" t="str">
        <f>IF(H9='Hoja1 (2)'!V3,'Hoja1 (2)'!K4,IF(H9='Hoja1 (2)'!V4,'Hoja1 (2)'!K5,IF(H9='Hoja1 (2)'!V5,'Hoja1 (2)'!K6,IF(H9='Hoja1 (2)'!V6,'Hoja1 (2)'!K7,IF(H9='Hoja1 (2)'!V7,'Hoja1 (2)'!K3)))))</f>
        <v>SILICONA NEUTRA 300gr. BLANCO</v>
      </c>
      <c r="C53" s="267"/>
      <c r="D53" s="267"/>
      <c r="E53" s="41" t="s">
        <v>137</v>
      </c>
      <c r="F53" s="127">
        <f>((((B8*D15)/10000)*2)*0.7)/300*H13</f>
        <v>0.93333333333333335</v>
      </c>
      <c r="G53" s="2"/>
    </row>
    <row r="54" spans="1:10" ht="18.649999999999999" customHeight="1" x14ac:dyDescent="0.2">
      <c r="A54" s="280"/>
      <c r="B54" s="268" t="s">
        <v>182</v>
      </c>
      <c r="C54" s="269"/>
      <c r="D54" s="269"/>
      <c r="E54" s="41" t="s">
        <v>137</v>
      </c>
      <c r="F54" s="126">
        <f>H13*18</f>
        <v>18</v>
      </c>
      <c r="G54" s="2"/>
    </row>
    <row r="55" spans="1:10" ht="16.75" customHeight="1" x14ac:dyDescent="0.2">
      <c r="A55" s="280"/>
      <c r="B55" s="286" t="s">
        <v>185</v>
      </c>
      <c r="C55" s="287"/>
      <c r="D55" s="287"/>
      <c r="E55" s="41" t="s">
        <v>137</v>
      </c>
      <c r="F55" s="126">
        <f>F54</f>
        <v>18</v>
      </c>
      <c r="G55" s="2"/>
    </row>
    <row r="56" spans="1:10" ht="15.65" customHeight="1" x14ac:dyDescent="0.2">
      <c r="A56" s="280"/>
      <c r="B56" s="258" t="s">
        <v>188</v>
      </c>
      <c r="C56" s="259"/>
      <c r="D56" s="259"/>
      <c r="E56" s="41" t="s">
        <v>137</v>
      </c>
      <c r="F56" s="126">
        <f>F54</f>
        <v>18</v>
      </c>
      <c r="G56" s="2"/>
    </row>
    <row r="57" spans="1:10" ht="15" customHeight="1" thickBot="1" x14ac:dyDescent="0.25">
      <c r="A57" s="280"/>
      <c r="B57" s="258" t="s">
        <v>191</v>
      </c>
      <c r="C57" s="259"/>
      <c r="D57" s="259"/>
      <c r="E57" s="41" t="s">
        <v>137</v>
      </c>
      <c r="F57" s="126">
        <f>F54</f>
        <v>18</v>
      </c>
      <c r="G57" s="2"/>
    </row>
    <row r="58" spans="1:10" ht="16.399999999999999" customHeight="1" thickBot="1" x14ac:dyDescent="0.25">
      <c r="B58" s="266" t="str">
        <f>IF(B42='Hoja1 (2)'!D5,'DoblerielS75asimetrico 3hojaH98'!C62,IF('DoblerielS75asimetrico 3hojaH98'!B42:D42='Hoja1 (2)'!D6,'DoblerielS75asimetrico 3hojaH98'!C62,IF('DoblerielS75asimetrico 3hojaH98'!B42:D42='Hoja1 (2)'!D3,'DoblerielS75asimetrico 3hojaH98'!C63)))</f>
        <v>SUPLEMENTO CELSUS 16,5 MM + 18,5 MM.</v>
      </c>
      <c r="C58" s="267"/>
      <c r="D58" s="267"/>
      <c r="E58" s="41" t="s">
        <v>137</v>
      </c>
      <c r="F58" s="126">
        <f>H13*4</f>
        <v>4</v>
      </c>
      <c r="G58" s="222" t="s">
        <v>272</v>
      </c>
    </row>
    <row r="59" spans="1:10" ht="17.5" customHeight="1" thickBot="1" x14ac:dyDescent="0.25">
      <c r="B59" s="266" t="str">
        <f>IF(B43='Hoja1 (2)'!D5,'DoblerielS75asimetrico 3hojaH98'!C62,IF('DoblerielS75asimetrico 3hojaH98'!B43='Hoja1 (2)'!D6,'DoblerielS75asimetrico 3hojaH98'!C62,IF('DoblerielS75asimetrico 3hojaH98'!B43='Hoja1 (2)'!D3,'DoblerielS75asimetrico 3hojaH98'!C63)))</f>
        <v>SUPLEMENTO CELSUS 16,5 MM + 18,5 MM.</v>
      </c>
      <c r="C59" s="267"/>
      <c r="D59" s="267"/>
      <c r="E59" s="41" t="s">
        <v>137</v>
      </c>
      <c r="F59" s="126">
        <f>H13*2</f>
        <v>2</v>
      </c>
      <c r="G59" s="222" t="s">
        <v>246</v>
      </c>
    </row>
    <row r="60" spans="1:10" ht="15.65" customHeight="1" thickBot="1" x14ac:dyDescent="0.25">
      <c r="B60" s="306" t="s">
        <v>202</v>
      </c>
      <c r="C60" s="307"/>
      <c r="D60" s="307"/>
      <c r="E60" s="129" t="s">
        <v>137</v>
      </c>
      <c r="F60" s="130">
        <f>2</f>
        <v>2</v>
      </c>
    </row>
    <row r="61" spans="1:10" ht="16.75" customHeight="1" thickBot="1" x14ac:dyDescent="0.25">
      <c r="B61" s="306" t="s">
        <v>222</v>
      </c>
      <c r="C61" s="307"/>
      <c r="D61" s="307"/>
      <c r="E61" s="129" t="s">
        <v>137</v>
      </c>
      <c r="F61" s="130">
        <f>H13*8</f>
        <v>8</v>
      </c>
    </row>
    <row r="62" spans="1:10" ht="15" hidden="1" customHeight="1" x14ac:dyDescent="0.2">
      <c r="C62" s="1" t="s">
        <v>214</v>
      </c>
    </row>
    <row r="63" spans="1:10" ht="18" hidden="1" customHeight="1" x14ac:dyDescent="0.2">
      <c r="C63" s="1" t="s">
        <v>215</v>
      </c>
    </row>
  </sheetData>
  <sheetProtection algorithmName="SHA-512" hashValue="0opYL9p6HxHbJ9d/PVskA/kmyWQsuZan3x8xkt9JWZoORDxq6LkKbGft94RWwnf7Wnrjl9HSVG0g21hi2+2LTQ==" saltValue="Q+/Ul2T+HB4FvOJpZiofzA==" spinCount="100000" sheet="1" objects="1" scenarios="1"/>
  <mergeCells count="63">
    <mergeCell ref="B61:D61"/>
    <mergeCell ref="B60:D60"/>
    <mergeCell ref="B50:D50"/>
    <mergeCell ref="B51:D51"/>
    <mergeCell ref="A52:A57"/>
    <mergeCell ref="B52:D52"/>
    <mergeCell ref="B53:D53"/>
    <mergeCell ref="B54:D54"/>
    <mergeCell ref="B55:D55"/>
    <mergeCell ref="B56:D56"/>
    <mergeCell ref="B57:D57"/>
    <mergeCell ref="B58:D58"/>
    <mergeCell ref="B59:D59"/>
    <mergeCell ref="B49:D49"/>
    <mergeCell ref="B42:D42"/>
    <mergeCell ref="H42:I42"/>
    <mergeCell ref="B43:D43"/>
    <mergeCell ref="H43:I43"/>
    <mergeCell ref="B44:D44"/>
    <mergeCell ref="H44:I44"/>
    <mergeCell ref="H47:I47"/>
    <mergeCell ref="H48:I48"/>
    <mergeCell ref="H49:I49"/>
    <mergeCell ref="H46:I46"/>
    <mergeCell ref="B45:D45"/>
    <mergeCell ref="H45:I45"/>
    <mergeCell ref="B46:D46"/>
    <mergeCell ref="B47:D47"/>
    <mergeCell ref="B48:D48"/>
    <mergeCell ref="C37:F37"/>
    <mergeCell ref="C38:F38"/>
    <mergeCell ref="B40:D40"/>
    <mergeCell ref="H40:I40"/>
    <mergeCell ref="B41:D41"/>
    <mergeCell ref="H41:I41"/>
    <mergeCell ref="C20:E20"/>
    <mergeCell ref="C36:F36"/>
    <mergeCell ref="C22:E22"/>
    <mergeCell ref="C23:E23"/>
    <mergeCell ref="C24:E24"/>
    <mergeCell ref="C25:E25"/>
    <mergeCell ref="C26:E26"/>
    <mergeCell ref="C27:E27"/>
    <mergeCell ref="C29:E29"/>
    <mergeCell ref="C30:E30"/>
    <mergeCell ref="C31:E31"/>
    <mergeCell ref="C32:E32"/>
    <mergeCell ref="C33:E33"/>
    <mergeCell ref="C21:E21"/>
    <mergeCell ref="C28:E28"/>
    <mergeCell ref="C17:E17"/>
    <mergeCell ref="H17:I17"/>
    <mergeCell ref="C18:E18"/>
    <mergeCell ref="C19:E19"/>
    <mergeCell ref="B2:H2"/>
    <mergeCell ref="I2:J5"/>
    <mergeCell ref="C5:E12"/>
    <mergeCell ref="G5:H5"/>
    <mergeCell ref="H7:I7"/>
    <mergeCell ref="H8:I8"/>
    <mergeCell ref="H9:I9"/>
    <mergeCell ref="H10:I10"/>
    <mergeCell ref="H11:I11"/>
  </mergeCells>
  <dataValidations disablePrompts="1" count="1">
    <dataValidation type="list" allowBlank="1" showInputMessage="1" showErrorMessage="1" sqref="H11:I11" xr:uid="{00000000-0002-0000-0C00-000000000000}">
      <formula1>$N$6:$N$20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  <headerFooter>
    <oddHeader>&amp;L&amp;D&amp;R&amp;G</oddHeader>
    <oddFooter>&amp;F</oddFooter>
  </headerFooter>
  <ignoredErrors>
    <ignoredError sqref="C13:D13" unlockedFormula="1"/>
    <ignoredError sqref="F22 F27" formula="1"/>
  </ignoredError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C00-000001000000}">
          <x14:formula1>
            <xm:f>'Hoja1 (2)'!$AF$3:$AF$7</xm:f>
          </x14:formula1>
          <xm:sqref>H9:I9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F68"/>
  <sheetViews>
    <sheetView topLeftCell="E6" zoomScale="80" zoomScaleNormal="80" workbookViewId="0">
      <selection activeCell="J14" sqref="J14"/>
    </sheetView>
  </sheetViews>
  <sheetFormatPr baseColWidth="10" defaultColWidth="11.453125" defaultRowHeight="14.5" x14ac:dyDescent="0.35"/>
  <cols>
    <col min="1" max="1" width="33.1796875" bestFit="1" customWidth="1"/>
    <col min="2" max="2" width="38.453125" bestFit="1" customWidth="1"/>
    <col min="3" max="3" width="38.453125" customWidth="1"/>
    <col min="4" max="4" width="41.81640625" bestFit="1" customWidth="1"/>
    <col min="5" max="5" width="32.54296875" bestFit="1" customWidth="1"/>
    <col min="6" max="6" width="29.453125" bestFit="1" customWidth="1"/>
    <col min="7" max="7" width="26.1796875" bestFit="1" customWidth="1"/>
    <col min="8" max="8" width="39.81640625" bestFit="1" customWidth="1"/>
    <col min="9" max="9" width="25.1796875" bestFit="1" customWidth="1"/>
    <col min="10" max="10" width="38" bestFit="1" customWidth="1"/>
    <col min="11" max="11" width="24.453125" bestFit="1" customWidth="1"/>
    <col min="12" max="12" width="32.1796875" bestFit="1" customWidth="1"/>
    <col min="17" max="17" width="11.54296875" customWidth="1"/>
    <col min="18" max="18" width="38.81640625" customWidth="1"/>
    <col min="21" max="21" width="38.453125" customWidth="1"/>
    <col min="23" max="23" width="39.453125" customWidth="1"/>
    <col min="25" max="25" width="40.453125" customWidth="1"/>
    <col min="27" max="27" width="40.81640625" customWidth="1"/>
    <col min="29" max="29" width="39.81640625" customWidth="1"/>
    <col min="31" max="31" width="41" customWidth="1"/>
    <col min="33" max="33" width="41" customWidth="1"/>
    <col min="257" max="257" width="33.1796875" bestFit="1" customWidth="1"/>
    <col min="258" max="258" width="38.453125" bestFit="1" customWidth="1"/>
    <col min="259" max="259" width="41.81640625" bestFit="1" customWidth="1"/>
    <col min="260" max="260" width="32.54296875" bestFit="1" customWidth="1"/>
    <col min="261" max="261" width="29.453125" bestFit="1" customWidth="1"/>
    <col min="262" max="262" width="26.1796875" bestFit="1" customWidth="1"/>
    <col min="263" max="263" width="39.81640625" bestFit="1" customWidth="1"/>
    <col min="264" max="264" width="25.1796875" bestFit="1" customWidth="1"/>
    <col min="265" max="265" width="38" bestFit="1" customWidth="1"/>
    <col min="513" max="513" width="33.1796875" bestFit="1" customWidth="1"/>
    <col min="514" max="514" width="38.453125" bestFit="1" customWidth="1"/>
    <col min="515" max="515" width="41.81640625" bestFit="1" customWidth="1"/>
    <col min="516" max="516" width="32.54296875" bestFit="1" customWidth="1"/>
    <col min="517" max="517" width="29.453125" bestFit="1" customWidth="1"/>
    <col min="518" max="518" width="26.1796875" bestFit="1" customWidth="1"/>
    <col min="519" max="519" width="39.81640625" bestFit="1" customWidth="1"/>
    <col min="520" max="520" width="25.1796875" bestFit="1" customWidth="1"/>
    <col min="521" max="521" width="38" bestFit="1" customWidth="1"/>
    <col min="769" max="769" width="33.1796875" bestFit="1" customWidth="1"/>
    <col min="770" max="770" width="38.453125" bestFit="1" customWidth="1"/>
    <col min="771" max="771" width="41.81640625" bestFit="1" customWidth="1"/>
    <col min="772" max="772" width="32.54296875" bestFit="1" customWidth="1"/>
    <col min="773" max="773" width="29.453125" bestFit="1" customWidth="1"/>
    <col min="774" max="774" width="26.1796875" bestFit="1" customWidth="1"/>
    <col min="775" max="775" width="39.81640625" bestFit="1" customWidth="1"/>
    <col min="776" max="776" width="25.1796875" bestFit="1" customWidth="1"/>
    <col min="777" max="777" width="38" bestFit="1" customWidth="1"/>
    <col min="1025" max="1025" width="33.1796875" bestFit="1" customWidth="1"/>
    <col min="1026" max="1026" width="38.453125" bestFit="1" customWidth="1"/>
    <col min="1027" max="1027" width="41.81640625" bestFit="1" customWidth="1"/>
    <col min="1028" max="1028" width="32.54296875" bestFit="1" customWidth="1"/>
    <col min="1029" max="1029" width="29.453125" bestFit="1" customWidth="1"/>
    <col min="1030" max="1030" width="26.1796875" bestFit="1" customWidth="1"/>
    <col min="1031" max="1031" width="39.81640625" bestFit="1" customWidth="1"/>
    <col min="1032" max="1032" width="25.1796875" bestFit="1" customWidth="1"/>
    <col min="1033" max="1033" width="38" bestFit="1" customWidth="1"/>
    <col min="1281" max="1281" width="33.1796875" bestFit="1" customWidth="1"/>
    <col min="1282" max="1282" width="38.453125" bestFit="1" customWidth="1"/>
    <col min="1283" max="1283" width="41.81640625" bestFit="1" customWidth="1"/>
    <col min="1284" max="1284" width="32.54296875" bestFit="1" customWidth="1"/>
    <col min="1285" max="1285" width="29.453125" bestFit="1" customWidth="1"/>
    <col min="1286" max="1286" width="26.1796875" bestFit="1" customWidth="1"/>
    <col min="1287" max="1287" width="39.81640625" bestFit="1" customWidth="1"/>
    <col min="1288" max="1288" width="25.1796875" bestFit="1" customWidth="1"/>
    <col min="1289" max="1289" width="38" bestFit="1" customWidth="1"/>
    <col min="1537" max="1537" width="33.1796875" bestFit="1" customWidth="1"/>
    <col min="1538" max="1538" width="38.453125" bestFit="1" customWidth="1"/>
    <col min="1539" max="1539" width="41.81640625" bestFit="1" customWidth="1"/>
    <col min="1540" max="1540" width="32.54296875" bestFit="1" customWidth="1"/>
    <col min="1541" max="1541" width="29.453125" bestFit="1" customWidth="1"/>
    <col min="1542" max="1542" width="26.1796875" bestFit="1" customWidth="1"/>
    <col min="1543" max="1543" width="39.81640625" bestFit="1" customWidth="1"/>
    <col min="1544" max="1544" width="25.1796875" bestFit="1" customWidth="1"/>
    <col min="1545" max="1545" width="38" bestFit="1" customWidth="1"/>
    <col min="1793" max="1793" width="33.1796875" bestFit="1" customWidth="1"/>
    <col min="1794" max="1794" width="38.453125" bestFit="1" customWidth="1"/>
    <col min="1795" max="1795" width="41.81640625" bestFit="1" customWidth="1"/>
    <col min="1796" max="1796" width="32.54296875" bestFit="1" customWidth="1"/>
    <col min="1797" max="1797" width="29.453125" bestFit="1" customWidth="1"/>
    <col min="1798" max="1798" width="26.1796875" bestFit="1" customWidth="1"/>
    <col min="1799" max="1799" width="39.81640625" bestFit="1" customWidth="1"/>
    <col min="1800" max="1800" width="25.1796875" bestFit="1" customWidth="1"/>
    <col min="1801" max="1801" width="38" bestFit="1" customWidth="1"/>
    <col min="2049" max="2049" width="33.1796875" bestFit="1" customWidth="1"/>
    <col min="2050" max="2050" width="38.453125" bestFit="1" customWidth="1"/>
    <col min="2051" max="2051" width="41.81640625" bestFit="1" customWidth="1"/>
    <col min="2052" max="2052" width="32.54296875" bestFit="1" customWidth="1"/>
    <col min="2053" max="2053" width="29.453125" bestFit="1" customWidth="1"/>
    <col min="2054" max="2054" width="26.1796875" bestFit="1" customWidth="1"/>
    <col min="2055" max="2055" width="39.81640625" bestFit="1" customWidth="1"/>
    <col min="2056" max="2056" width="25.1796875" bestFit="1" customWidth="1"/>
    <col min="2057" max="2057" width="38" bestFit="1" customWidth="1"/>
    <col min="2305" max="2305" width="33.1796875" bestFit="1" customWidth="1"/>
    <col min="2306" max="2306" width="38.453125" bestFit="1" customWidth="1"/>
    <col min="2307" max="2307" width="41.81640625" bestFit="1" customWidth="1"/>
    <col min="2308" max="2308" width="32.54296875" bestFit="1" customWidth="1"/>
    <col min="2309" max="2309" width="29.453125" bestFit="1" customWidth="1"/>
    <col min="2310" max="2310" width="26.1796875" bestFit="1" customWidth="1"/>
    <col min="2311" max="2311" width="39.81640625" bestFit="1" customWidth="1"/>
    <col min="2312" max="2312" width="25.1796875" bestFit="1" customWidth="1"/>
    <col min="2313" max="2313" width="38" bestFit="1" customWidth="1"/>
    <col min="2561" max="2561" width="33.1796875" bestFit="1" customWidth="1"/>
    <col min="2562" max="2562" width="38.453125" bestFit="1" customWidth="1"/>
    <col min="2563" max="2563" width="41.81640625" bestFit="1" customWidth="1"/>
    <col min="2564" max="2564" width="32.54296875" bestFit="1" customWidth="1"/>
    <col min="2565" max="2565" width="29.453125" bestFit="1" customWidth="1"/>
    <col min="2566" max="2566" width="26.1796875" bestFit="1" customWidth="1"/>
    <col min="2567" max="2567" width="39.81640625" bestFit="1" customWidth="1"/>
    <col min="2568" max="2568" width="25.1796875" bestFit="1" customWidth="1"/>
    <col min="2569" max="2569" width="38" bestFit="1" customWidth="1"/>
    <col min="2817" max="2817" width="33.1796875" bestFit="1" customWidth="1"/>
    <col min="2818" max="2818" width="38.453125" bestFit="1" customWidth="1"/>
    <col min="2819" max="2819" width="41.81640625" bestFit="1" customWidth="1"/>
    <col min="2820" max="2820" width="32.54296875" bestFit="1" customWidth="1"/>
    <col min="2821" max="2821" width="29.453125" bestFit="1" customWidth="1"/>
    <col min="2822" max="2822" width="26.1796875" bestFit="1" customWidth="1"/>
    <col min="2823" max="2823" width="39.81640625" bestFit="1" customWidth="1"/>
    <col min="2824" max="2824" width="25.1796875" bestFit="1" customWidth="1"/>
    <col min="2825" max="2825" width="38" bestFit="1" customWidth="1"/>
    <col min="3073" max="3073" width="33.1796875" bestFit="1" customWidth="1"/>
    <col min="3074" max="3074" width="38.453125" bestFit="1" customWidth="1"/>
    <col min="3075" max="3075" width="41.81640625" bestFit="1" customWidth="1"/>
    <col min="3076" max="3076" width="32.54296875" bestFit="1" customWidth="1"/>
    <col min="3077" max="3077" width="29.453125" bestFit="1" customWidth="1"/>
    <col min="3078" max="3078" width="26.1796875" bestFit="1" customWidth="1"/>
    <col min="3079" max="3079" width="39.81640625" bestFit="1" customWidth="1"/>
    <col min="3080" max="3080" width="25.1796875" bestFit="1" customWidth="1"/>
    <col min="3081" max="3081" width="38" bestFit="1" customWidth="1"/>
    <col min="3329" max="3329" width="33.1796875" bestFit="1" customWidth="1"/>
    <col min="3330" max="3330" width="38.453125" bestFit="1" customWidth="1"/>
    <col min="3331" max="3331" width="41.81640625" bestFit="1" customWidth="1"/>
    <col min="3332" max="3332" width="32.54296875" bestFit="1" customWidth="1"/>
    <col min="3333" max="3333" width="29.453125" bestFit="1" customWidth="1"/>
    <col min="3334" max="3334" width="26.1796875" bestFit="1" customWidth="1"/>
    <col min="3335" max="3335" width="39.81640625" bestFit="1" customWidth="1"/>
    <col min="3336" max="3336" width="25.1796875" bestFit="1" customWidth="1"/>
    <col min="3337" max="3337" width="38" bestFit="1" customWidth="1"/>
    <col min="3585" max="3585" width="33.1796875" bestFit="1" customWidth="1"/>
    <col min="3586" max="3586" width="38.453125" bestFit="1" customWidth="1"/>
    <col min="3587" max="3587" width="41.81640625" bestFit="1" customWidth="1"/>
    <col min="3588" max="3588" width="32.54296875" bestFit="1" customWidth="1"/>
    <col min="3589" max="3589" width="29.453125" bestFit="1" customWidth="1"/>
    <col min="3590" max="3590" width="26.1796875" bestFit="1" customWidth="1"/>
    <col min="3591" max="3591" width="39.81640625" bestFit="1" customWidth="1"/>
    <col min="3592" max="3592" width="25.1796875" bestFit="1" customWidth="1"/>
    <col min="3593" max="3593" width="38" bestFit="1" customWidth="1"/>
    <col min="3841" max="3841" width="33.1796875" bestFit="1" customWidth="1"/>
    <col min="3842" max="3842" width="38.453125" bestFit="1" customWidth="1"/>
    <col min="3843" max="3843" width="41.81640625" bestFit="1" customWidth="1"/>
    <col min="3844" max="3844" width="32.54296875" bestFit="1" customWidth="1"/>
    <col min="3845" max="3845" width="29.453125" bestFit="1" customWidth="1"/>
    <col min="3846" max="3846" width="26.1796875" bestFit="1" customWidth="1"/>
    <col min="3847" max="3847" width="39.81640625" bestFit="1" customWidth="1"/>
    <col min="3848" max="3848" width="25.1796875" bestFit="1" customWidth="1"/>
    <col min="3849" max="3849" width="38" bestFit="1" customWidth="1"/>
    <col min="4097" max="4097" width="33.1796875" bestFit="1" customWidth="1"/>
    <col min="4098" max="4098" width="38.453125" bestFit="1" customWidth="1"/>
    <col min="4099" max="4099" width="41.81640625" bestFit="1" customWidth="1"/>
    <col min="4100" max="4100" width="32.54296875" bestFit="1" customWidth="1"/>
    <col min="4101" max="4101" width="29.453125" bestFit="1" customWidth="1"/>
    <col min="4102" max="4102" width="26.1796875" bestFit="1" customWidth="1"/>
    <col min="4103" max="4103" width="39.81640625" bestFit="1" customWidth="1"/>
    <col min="4104" max="4104" width="25.1796875" bestFit="1" customWidth="1"/>
    <col min="4105" max="4105" width="38" bestFit="1" customWidth="1"/>
    <col min="4353" max="4353" width="33.1796875" bestFit="1" customWidth="1"/>
    <col min="4354" max="4354" width="38.453125" bestFit="1" customWidth="1"/>
    <col min="4355" max="4355" width="41.81640625" bestFit="1" customWidth="1"/>
    <col min="4356" max="4356" width="32.54296875" bestFit="1" customWidth="1"/>
    <col min="4357" max="4357" width="29.453125" bestFit="1" customWidth="1"/>
    <col min="4358" max="4358" width="26.1796875" bestFit="1" customWidth="1"/>
    <col min="4359" max="4359" width="39.81640625" bestFit="1" customWidth="1"/>
    <col min="4360" max="4360" width="25.1796875" bestFit="1" customWidth="1"/>
    <col min="4361" max="4361" width="38" bestFit="1" customWidth="1"/>
    <col min="4609" max="4609" width="33.1796875" bestFit="1" customWidth="1"/>
    <col min="4610" max="4610" width="38.453125" bestFit="1" customWidth="1"/>
    <col min="4611" max="4611" width="41.81640625" bestFit="1" customWidth="1"/>
    <col min="4612" max="4612" width="32.54296875" bestFit="1" customWidth="1"/>
    <col min="4613" max="4613" width="29.453125" bestFit="1" customWidth="1"/>
    <col min="4614" max="4614" width="26.1796875" bestFit="1" customWidth="1"/>
    <col min="4615" max="4615" width="39.81640625" bestFit="1" customWidth="1"/>
    <col min="4616" max="4616" width="25.1796875" bestFit="1" customWidth="1"/>
    <col min="4617" max="4617" width="38" bestFit="1" customWidth="1"/>
    <col min="4865" max="4865" width="33.1796875" bestFit="1" customWidth="1"/>
    <col min="4866" max="4866" width="38.453125" bestFit="1" customWidth="1"/>
    <col min="4867" max="4867" width="41.81640625" bestFit="1" customWidth="1"/>
    <col min="4868" max="4868" width="32.54296875" bestFit="1" customWidth="1"/>
    <col min="4869" max="4869" width="29.453125" bestFit="1" customWidth="1"/>
    <col min="4870" max="4870" width="26.1796875" bestFit="1" customWidth="1"/>
    <col min="4871" max="4871" width="39.81640625" bestFit="1" customWidth="1"/>
    <col min="4872" max="4872" width="25.1796875" bestFit="1" customWidth="1"/>
    <col min="4873" max="4873" width="38" bestFit="1" customWidth="1"/>
    <col min="5121" max="5121" width="33.1796875" bestFit="1" customWidth="1"/>
    <col min="5122" max="5122" width="38.453125" bestFit="1" customWidth="1"/>
    <col min="5123" max="5123" width="41.81640625" bestFit="1" customWidth="1"/>
    <col min="5124" max="5124" width="32.54296875" bestFit="1" customWidth="1"/>
    <col min="5125" max="5125" width="29.453125" bestFit="1" customWidth="1"/>
    <col min="5126" max="5126" width="26.1796875" bestFit="1" customWidth="1"/>
    <col min="5127" max="5127" width="39.81640625" bestFit="1" customWidth="1"/>
    <col min="5128" max="5128" width="25.1796875" bestFit="1" customWidth="1"/>
    <col min="5129" max="5129" width="38" bestFit="1" customWidth="1"/>
    <col min="5377" max="5377" width="33.1796875" bestFit="1" customWidth="1"/>
    <col min="5378" max="5378" width="38.453125" bestFit="1" customWidth="1"/>
    <col min="5379" max="5379" width="41.81640625" bestFit="1" customWidth="1"/>
    <col min="5380" max="5380" width="32.54296875" bestFit="1" customWidth="1"/>
    <col min="5381" max="5381" width="29.453125" bestFit="1" customWidth="1"/>
    <col min="5382" max="5382" width="26.1796875" bestFit="1" customWidth="1"/>
    <col min="5383" max="5383" width="39.81640625" bestFit="1" customWidth="1"/>
    <col min="5384" max="5384" width="25.1796875" bestFit="1" customWidth="1"/>
    <col min="5385" max="5385" width="38" bestFit="1" customWidth="1"/>
    <col min="5633" max="5633" width="33.1796875" bestFit="1" customWidth="1"/>
    <col min="5634" max="5634" width="38.453125" bestFit="1" customWidth="1"/>
    <col min="5635" max="5635" width="41.81640625" bestFit="1" customWidth="1"/>
    <col min="5636" max="5636" width="32.54296875" bestFit="1" customWidth="1"/>
    <col min="5637" max="5637" width="29.453125" bestFit="1" customWidth="1"/>
    <col min="5638" max="5638" width="26.1796875" bestFit="1" customWidth="1"/>
    <col min="5639" max="5639" width="39.81640625" bestFit="1" customWidth="1"/>
    <col min="5640" max="5640" width="25.1796875" bestFit="1" customWidth="1"/>
    <col min="5641" max="5641" width="38" bestFit="1" customWidth="1"/>
    <col min="5889" max="5889" width="33.1796875" bestFit="1" customWidth="1"/>
    <col min="5890" max="5890" width="38.453125" bestFit="1" customWidth="1"/>
    <col min="5891" max="5891" width="41.81640625" bestFit="1" customWidth="1"/>
    <col min="5892" max="5892" width="32.54296875" bestFit="1" customWidth="1"/>
    <col min="5893" max="5893" width="29.453125" bestFit="1" customWidth="1"/>
    <col min="5894" max="5894" width="26.1796875" bestFit="1" customWidth="1"/>
    <col min="5895" max="5895" width="39.81640625" bestFit="1" customWidth="1"/>
    <col min="5896" max="5896" width="25.1796875" bestFit="1" customWidth="1"/>
    <col min="5897" max="5897" width="38" bestFit="1" customWidth="1"/>
    <col min="6145" max="6145" width="33.1796875" bestFit="1" customWidth="1"/>
    <col min="6146" max="6146" width="38.453125" bestFit="1" customWidth="1"/>
    <col min="6147" max="6147" width="41.81640625" bestFit="1" customWidth="1"/>
    <col min="6148" max="6148" width="32.54296875" bestFit="1" customWidth="1"/>
    <col min="6149" max="6149" width="29.453125" bestFit="1" customWidth="1"/>
    <col min="6150" max="6150" width="26.1796875" bestFit="1" customWidth="1"/>
    <col min="6151" max="6151" width="39.81640625" bestFit="1" customWidth="1"/>
    <col min="6152" max="6152" width="25.1796875" bestFit="1" customWidth="1"/>
    <col min="6153" max="6153" width="38" bestFit="1" customWidth="1"/>
    <col min="6401" max="6401" width="33.1796875" bestFit="1" customWidth="1"/>
    <col min="6402" max="6402" width="38.453125" bestFit="1" customWidth="1"/>
    <col min="6403" max="6403" width="41.81640625" bestFit="1" customWidth="1"/>
    <col min="6404" max="6404" width="32.54296875" bestFit="1" customWidth="1"/>
    <col min="6405" max="6405" width="29.453125" bestFit="1" customWidth="1"/>
    <col min="6406" max="6406" width="26.1796875" bestFit="1" customWidth="1"/>
    <col min="6407" max="6407" width="39.81640625" bestFit="1" customWidth="1"/>
    <col min="6408" max="6408" width="25.1796875" bestFit="1" customWidth="1"/>
    <col min="6409" max="6409" width="38" bestFit="1" customWidth="1"/>
    <col min="6657" max="6657" width="33.1796875" bestFit="1" customWidth="1"/>
    <col min="6658" max="6658" width="38.453125" bestFit="1" customWidth="1"/>
    <col min="6659" max="6659" width="41.81640625" bestFit="1" customWidth="1"/>
    <col min="6660" max="6660" width="32.54296875" bestFit="1" customWidth="1"/>
    <col min="6661" max="6661" width="29.453125" bestFit="1" customWidth="1"/>
    <col min="6662" max="6662" width="26.1796875" bestFit="1" customWidth="1"/>
    <col min="6663" max="6663" width="39.81640625" bestFit="1" customWidth="1"/>
    <col min="6664" max="6664" width="25.1796875" bestFit="1" customWidth="1"/>
    <col min="6665" max="6665" width="38" bestFit="1" customWidth="1"/>
    <col min="6913" max="6913" width="33.1796875" bestFit="1" customWidth="1"/>
    <col min="6914" max="6914" width="38.453125" bestFit="1" customWidth="1"/>
    <col min="6915" max="6915" width="41.81640625" bestFit="1" customWidth="1"/>
    <col min="6916" max="6916" width="32.54296875" bestFit="1" customWidth="1"/>
    <col min="6917" max="6917" width="29.453125" bestFit="1" customWidth="1"/>
    <col min="6918" max="6918" width="26.1796875" bestFit="1" customWidth="1"/>
    <col min="6919" max="6919" width="39.81640625" bestFit="1" customWidth="1"/>
    <col min="6920" max="6920" width="25.1796875" bestFit="1" customWidth="1"/>
    <col min="6921" max="6921" width="38" bestFit="1" customWidth="1"/>
    <col min="7169" max="7169" width="33.1796875" bestFit="1" customWidth="1"/>
    <col min="7170" max="7170" width="38.453125" bestFit="1" customWidth="1"/>
    <col min="7171" max="7171" width="41.81640625" bestFit="1" customWidth="1"/>
    <col min="7172" max="7172" width="32.54296875" bestFit="1" customWidth="1"/>
    <col min="7173" max="7173" width="29.453125" bestFit="1" customWidth="1"/>
    <col min="7174" max="7174" width="26.1796875" bestFit="1" customWidth="1"/>
    <col min="7175" max="7175" width="39.81640625" bestFit="1" customWidth="1"/>
    <col min="7176" max="7176" width="25.1796875" bestFit="1" customWidth="1"/>
    <col min="7177" max="7177" width="38" bestFit="1" customWidth="1"/>
    <col min="7425" max="7425" width="33.1796875" bestFit="1" customWidth="1"/>
    <col min="7426" max="7426" width="38.453125" bestFit="1" customWidth="1"/>
    <col min="7427" max="7427" width="41.81640625" bestFit="1" customWidth="1"/>
    <col min="7428" max="7428" width="32.54296875" bestFit="1" customWidth="1"/>
    <col min="7429" max="7429" width="29.453125" bestFit="1" customWidth="1"/>
    <col min="7430" max="7430" width="26.1796875" bestFit="1" customWidth="1"/>
    <col min="7431" max="7431" width="39.81640625" bestFit="1" customWidth="1"/>
    <col min="7432" max="7432" width="25.1796875" bestFit="1" customWidth="1"/>
    <col min="7433" max="7433" width="38" bestFit="1" customWidth="1"/>
    <col min="7681" max="7681" width="33.1796875" bestFit="1" customWidth="1"/>
    <col min="7682" max="7682" width="38.453125" bestFit="1" customWidth="1"/>
    <col min="7683" max="7683" width="41.81640625" bestFit="1" customWidth="1"/>
    <col min="7684" max="7684" width="32.54296875" bestFit="1" customWidth="1"/>
    <col min="7685" max="7685" width="29.453125" bestFit="1" customWidth="1"/>
    <col min="7686" max="7686" width="26.1796875" bestFit="1" customWidth="1"/>
    <col min="7687" max="7687" width="39.81640625" bestFit="1" customWidth="1"/>
    <col min="7688" max="7688" width="25.1796875" bestFit="1" customWidth="1"/>
    <col min="7689" max="7689" width="38" bestFit="1" customWidth="1"/>
    <col min="7937" max="7937" width="33.1796875" bestFit="1" customWidth="1"/>
    <col min="7938" max="7938" width="38.453125" bestFit="1" customWidth="1"/>
    <col min="7939" max="7939" width="41.81640625" bestFit="1" customWidth="1"/>
    <col min="7940" max="7940" width="32.54296875" bestFit="1" customWidth="1"/>
    <col min="7941" max="7941" width="29.453125" bestFit="1" customWidth="1"/>
    <col min="7942" max="7942" width="26.1796875" bestFit="1" customWidth="1"/>
    <col min="7943" max="7943" width="39.81640625" bestFit="1" customWidth="1"/>
    <col min="7944" max="7944" width="25.1796875" bestFit="1" customWidth="1"/>
    <col min="7945" max="7945" width="38" bestFit="1" customWidth="1"/>
    <col min="8193" max="8193" width="33.1796875" bestFit="1" customWidth="1"/>
    <col min="8194" max="8194" width="38.453125" bestFit="1" customWidth="1"/>
    <col min="8195" max="8195" width="41.81640625" bestFit="1" customWidth="1"/>
    <col min="8196" max="8196" width="32.54296875" bestFit="1" customWidth="1"/>
    <col min="8197" max="8197" width="29.453125" bestFit="1" customWidth="1"/>
    <col min="8198" max="8198" width="26.1796875" bestFit="1" customWidth="1"/>
    <col min="8199" max="8199" width="39.81640625" bestFit="1" customWidth="1"/>
    <col min="8200" max="8200" width="25.1796875" bestFit="1" customWidth="1"/>
    <col min="8201" max="8201" width="38" bestFit="1" customWidth="1"/>
    <col min="8449" max="8449" width="33.1796875" bestFit="1" customWidth="1"/>
    <col min="8450" max="8450" width="38.453125" bestFit="1" customWidth="1"/>
    <col min="8451" max="8451" width="41.81640625" bestFit="1" customWidth="1"/>
    <col min="8452" max="8452" width="32.54296875" bestFit="1" customWidth="1"/>
    <col min="8453" max="8453" width="29.453125" bestFit="1" customWidth="1"/>
    <col min="8454" max="8454" width="26.1796875" bestFit="1" customWidth="1"/>
    <col min="8455" max="8455" width="39.81640625" bestFit="1" customWidth="1"/>
    <col min="8456" max="8456" width="25.1796875" bestFit="1" customWidth="1"/>
    <col min="8457" max="8457" width="38" bestFit="1" customWidth="1"/>
    <col min="8705" max="8705" width="33.1796875" bestFit="1" customWidth="1"/>
    <col min="8706" max="8706" width="38.453125" bestFit="1" customWidth="1"/>
    <col min="8707" max="8707" width="41.81640625" bestFit="1" customWidth="1"/>
    <col min="8708" max="8708" width="32.54296875" bestFit="1" customWidth="1"/>
    <col min="8709" max="8709" width="29.453125" bestFit="1" customWidth="1"/>
    <col min="8710" max="8710" width="26.1796875" bestFit="1" customWidth="1"/>
    <col min="8711" max="8711" width="39.81640625" bestFit="1" customWidth="1"/>
    <col min="8712" max="8712" width="25.1796875" bestFit="1" customWidth="1"/>
    <col min="8713" max="8713" width="38" bestFit="1" customWidth="1"/>
    <col min="8961" max="8961" width="33.1796875" bestFit="1" customWidth="1"/>
    <col min="8962" max="8962" width="38.453125" bestFit="1" customWidth="1"/>
    <col min="8963" max="8963" width="41.81640625" bestFit="1" customWidth="1"/>
    <col min="8964" max="8964" width="32.54296875" bestFit="1" customWidth="1"/>
    <col min="8965" max="8965" width="29.453125" bestFit="1" customWidth="1"/>
    <col min="8966" max="8966" width="26.1796875" bestFit="1" customWidth="1"/>
    <col min="8967" max="8967" width="39.81640625" bestFit="1" customWidth="1"/>
    <col min="8968" max="8968" width="25.1796875" bestFit="1" customWidth="1"/>
    <col min="8969" max="8969" width="38" bestFit="1" customWidth="1"/>
    <col min="9217" max="9217" width="33.1796875" bestFit="1" customWidth="1"/>
    <col min="9218" max="9218" width="38.453125" bestFit="1" customWidth="1"/>
    <col min="9219" max="9219" width="41.81640625" bestFit="1" customWidth="1"/>
    <col min="9220" max="9220" width="32.54296875" bestFit="1" customWidth="1"/>
    <col min="9221" max="9221" width="29.453125" bestFit="1" customWidth="1"/>
    <col min="9222" max="9222" width="26.1796875" bestFit="1" customWidth="1"/>
    <col min="9223" max="9223" width="39.81640625" bestFit="1" customWidth="1"/>
    <col min="9224" max="9224" width="25.1796875" bestFit="1" customWidth="1"/>
    <col min="9225" max="9225" width="38" bestFit="1" customWidth="1"/>
    <col min="9473" max="9473" width="33.1796875" bestFit="1" customWidth="1"/>
    <col min="9474" max="9474" width="38.453125" bestFit="1" customWidth="1"/>
    <col min="9475" max="9475" width="41.81640625" bestFit="1" customWidth="1"/>
    <col min="9476" max="9476" width="32.54296875" bestFit="1" customWidth="1"/>
    <col min="9477" max="9477" width="29.453125" bestFit="1" customWidth="1"/>
    <col min="9478" max="9478" width="26.1796875" bestFit="1" customWidth="1"/>
    <col min="9479" max="9479" width="39.81640625" bestFit="1" customWidth="1"/>
    <col min="9480" max="9480" width="25.1796875" bestFit="1" customWidth="1"/>
    <col min="9481" max="9481" width="38" bestFit="1" customWidth="1"/>
    <col min="9729" max="9729" width="33.1796875" bestFit="1" customWidth="1"/>
    <col min="9730" max="9730" width="38.453125" bestFit="1" customWidth="1"/>
    <col min="9731" max="9731" width="41.81640625" bestFit="1" customWidth="1"/>
    <col min="9732" max="9732" width="32.54296875" bestFit="1" customWidth="1"/>
    <col min="9733" max="9733" width="29.453125" bestFit="1" customWidth="1"/>
    <col min="9734" max="9734" width="26.1796875" bestFit="1" customWidth="1"/>
    <col min="9735" max="9735" width="39.81640625" bestFit="1" customWidth="1"/>
    <col min="9736" max="9736" width="25.1796875" bestFit="1" customWidth="1"/>
    <col min="9737" max="9737" width="38" bestFit="1" customWidth="1"/>
    <col min="9985" max="9985" width="33.1796875" bestFit="1" customWidth="1"/>
    <col min="9986" max="9986" width="38.453125" bestFit="1" customWidth="1"/>
    <col min="9987" max="9987" width="41.81640625" bestFit="1" customWidth="1"/>
    <col min="9988" max="9988" width="32.54296875" bestFit="1" customWidth="1"/>
    <col min="9989" max="9989" width="29.453125" bestFit="1" customWidth="1"/>
    <col min="9990" max="9990" width="26.1796875" bestFit="1" customWidth="1"/>
    <col min="9991" max="9991" width="39.81640625" bestFit="1" customWidth="1"/>
    <col min="9992" max="9992" width="25.1796875" bestFit="1" customWidth="1"/>
    <col min="9993" max="9993" width="38" bestFit="1" customWidth="1"/>
    <col min="10241" max="10241" width="33.1796875" bestFit="1" customWidth="1"/>
    <col min="10242" max="10242" width="38.453125" bestFit="1" customWidth="1"/>
    <col min="10243" max="10243" width="41.81640625" bestFit="1" customWidth="1"/>
    <col min="10244" max="10244" width="32.54296875" bestFit="1" customWidth="1"/>
    <col min="10245" max="10245" width="29.453125" bestFit="1" customWidth="1"/>
    <col min="10246" max="10246" width="26.1796875" bestFit="1" customWidth="1"/>
    <col min="10247" max="10247" width="39.81640625" bestFit="1" customWidth="1"/>
    <col min="10248" max="10248" width="25.1796875" bestFit="1" customWidth="1"/>
    <col min="10249" max="10249" width="38" bestFit="1" customWidth="1"/>
    <col min="10497" max="10497" width="33.1796875" bestFit="1" customWidth="1"/>
    <col min="10498" max="10498" width="38.453125" bestFit="1" customWidth="1"/>
    <col min="10499" max="10499" width="41.81640625" bestFit="1" customWidth="1"/>
    <col min="10500" max="10500" width="32.54296875" bestFit="1" customWidth="1"/>
    <col min="10501" max="10501" width="29.453125" bestFit="1" customWidth="1"/>
    <col min="10502" max="10502" width="26.1796875" bestFit="1" customWidth="1"/>
    <col min="10503" max="10503" width="39.81640625" bestFit="1" customWidth="1"/>
    <col min="10504" max="10504" width="25.1796875" bestFit="1" customWidth="1"/>
    <col min="10505" max="10505" width="38" bestFit="1" customWidth="1"/>
    <col min="10753" max="10753" width="33.1796875" bestFit="1" customWidth="1"/>
    <col min="10754" max="10754" width="38.453125" bestFit="1" customWidth="1"/>
    <col min="10755" max="10755" width="41.81640625" bestFit="1" customWidth="1"/>
    <col min="10756" max="10756" width="32.54296875" bestFit="1" customWidth="1"/>
    <col min="10757" max="10757" width="29.453125" bestFit="1" customWidth="1"/>
    <col min="10758" max="10758" width="26.1796875" bestFit="1" customWidth="1"/>
    <col min="10759" max="10759" width="39.81640625" bestFit="1" customWidth="1"/>
    <col min="10760" max="10760" width="25.1796875" bestFit="1" customWidth="1"/>
    <col min="10761" max="10761" width="38" bestFit="1" customWidth="1"/>
    <col min="11009" max="11009" width="33.1796875" bestFit="1" customWidth="1"/>
    <col min="11010" max="11010" width="38.453125" bestFit="1" customWidth="1"/>
    <col min="11011" max="11011" width="41.81640625" bestFit="1" customWidth="1"/>
    <col min="11012" max="11012" width="32.54296875" bestFit="1" customWidth="1"/>
    <col min="11013" max="11013" width="29.453125" bestFit="1" customWidth="1"/>
    <col min="11014" max="11014" width="26.1796875" bestFit="1" customWidth="1"/>
    <col min="11015" max="11015" width="39.81640625" bestFit="1" customWidth="1"/>
    <col min="11016" max="11016" width="25.1796875" bestFit="1" customWidth="1"/>
    <col min="11017" max="11017" width="38" bestFit="1" customWidth="1"/>
    <col min="11265" max="11265" width="33.1796875" bestFit="1" customWidth="1"/>
    <col min="11266" max="11266" width="38.453125" bestFit="1" customWidth="1"/>
    <col min="11267" max="11267" width="41.81640625" bestFit="1" customWidth="1"/>
    <col min="11268" max="11268" width="32.54296875" bestFit="1" customWidth="1"/>
    <col min="11269" max="11269" width="29.453125" bestFit="1" customWidth="1"/>
    <col min="11270" max="11270" width="26.1796875" bestFit="1" customWidth="1"/>
    <col min="11271" max="11271" width="39.81640625" bestFit="1" customWidth="1"/>
    <col min="11272" max="11272" width="25.1796875" bestFit="1" customWidth="1"/>
    <col min="11273" max="11273" width="38" bestFit="1" customWidth="1"/>
    <col min="11521" max="11521" width="33.1796875" bestFit="1" customWidth="1"/>
    <col min="11522" max="11522" width="38.453125" bestFit="1" customWidth="1"/>
    <col min="11523" max="11523" width="41.81640625" bestFit="1" customWidth="1"/>
    <col min="11524" max="11524" width="32.54296875" bestFit="1" customWidth="1"/>
    <col min="11525" max="11525" width="29.453125" bestFit="1" customWidth="1"/>
    <col min="11526" max="11526" width="26.1796875" bestFit="1" customWidth="1"/>
    <col min="11527" max="11527" width="39.81640625" bestFit="1" customWidth="1"/>
    <col min="11528" max="11528" width="25.1796875" bestFit="1" customWidth="1"/>
    <col min="11529" max="11529" width="38" bestFit="1" customWidth="1"/>
    <col min="11777" max="11777" width="33.1796875" bestFit="1" customWidth="1"/>
    <col min="11778" max="11778" width="38.453125" bestFit="1" customWidth="1"/>
    <col min="11779" max="11779" width="41.81640625" bestFit="1" customWidth="1"/>
    <col min="11780" max="11780" width="32.54296875" bestFit="1" customWidth="1"/>
    <col min="11781" max="11781" width="29.453125" bestFit="1" customWidth="1"/>
    <col min="11782" max="11782" width="26.1796875" bestFit="1" customWidth="1"/>
    <col min="11783" max="11783" width="39.81640625" bestFit="1" customWidth="1"/>
    <col min="11784" max="11784" width="25.1796875" bestFit="1" customWidth="1"/>
    <col min="11785" max="11785" width="38" bestFit="1" customWidth="1"/>
    <col min="12033" max="12033" width="33.1796875" bestFit="1" customWidth="1"/>
    <col min="12034" max="12034" width="38.453125" bestFit="1" customWidth="1"/>
    <col min="12035" max="12035" width="41.81640625" bestFit="1" customWidth="1"/>
    <col min="12036" max="12036" width="32.54296875" bestFit="1" customWidth="1"/>
    <col min="12037" max="12037" width="29.453125" bestFit="1" customWidth="1"/>
    <col min="12038" max="12038" width="26.1796875" bestFit="1" customWidth="1"/>
    <col min="12039" max="12039" width="39.81640625" bestFit="1" customWidth="1"/>
    <col min="12040" max="12040" width="25.1796875" bestFit="1" customWidth="1"/>
    <col min="12041" max="12041" width="38" bestFit="1" customWidth="1"/>
    <col min="12289" max="12289" width="33.1796875" bestFit="1" customWidth="1"/>
    <col min="12290" max="12290" width="38.453125" bestFit="1" customWidth="1"/>
    <col min="12291" max="12291" width="41.81640625" bestFit="1" customWidth="1"/>
    <col min="12292" max="12292" width="32.54296875" bestFit="1" customWidth="1"/>
    <col min="12293" max="12293" width="29.453125" bestFit="1" customWidth="1"/>
    <col min="12294" max="12294" width="26.1796875" bestFit="1" customWidth="1"/>
    <col min="12295" max="12295" width="39.81640625" bestFit="1" customWidth="1"/>
    <col min="12296" max="12296" width="25.1796875" bestFit="1" customWidth="1"/>
    <col min="12297" max="12297" width="38" bestFit="1" customWidth="1"/>
    <col min="12545" max="12545" width="33.1796875" bestFit="1" customWidth="1"/>
    <col min="12546" max="12546" width="38.453125" bestFit="1" customWidth="1"/>
    <col min="12547" max="12547" width="41.81640625" bestFit="1" customWidth="1"/>
    <col min="12548" max="12548" width="32.54296875" bestFit="1" customWidth="1"/>
    <col min="12549" max="12549" width="29.453125" bestFit="1" customWidth="1"/>
    <col min="12550" max="12550" width="26.1796875" bestFit="1" customWidth="1"/>
    <col min="12551" max="12551" width="39.81640625" bestFit="1" customWidth="1"/>
    <col min="12552" max="12552" width="25.1796875" bestFit="1" customWidth="1"/>
    <col min="12553" max="12553" width="38" bestFit="1" customWidth="1"/>
    <col min="12801" max="12801" width="33.1796875" bestFit="1" customWidth="1"/>
    <col min="12802" max="12802" width="38.453125" bestFit="1" customWidth="1"/>
    <col min="12803" max="12803" width="41.81640625" bestFit="1" customWidth="1"/>
    <col min="12804" max="12804" width="32.54296875" bestFit="1" customWidth="1"/>
    <col min="12805" max="12805" width="29.453125" bestFit="1" customWidth="1"/>
    <col min="12806" max="12806" width="26.1796875" bestFit="1" customWidth="1"/>
    <col min="12807" max="12807" width="39.81640625" bestFit="1" customWidth="1"/>
    <col min="12808" max="12808" width="25.1796875" bestFit="1" customWidth="1"/>
    <col min="12809" max="12809" width="38" bestFit="1" customWidth="1"/>
    <col min="13057" max="13057" width="33.1796875" bestFit="1" customWidth="1"/>
    <col min="13058" max="13058" width="38.453125" bestFit="1" customWidth="1"/>
    <col min="13059" max="13059" width="41.81640625" bestFit="1" customWidth="1"/>
    <col min="13060" max="13060" width="32.54296875" bestFit="1" customWidth="1"/>
    <col min="13061" max="13061" width="29.453125" bestFit="1" customWidth="1"/>
    <col min="13062" max="13062" width="26.1796875" bestFit="1" customWidth="1"/>
    <col min="13063" max="13063" width="39.81640625" bestFit="1" customWidth="1"/>
    <col min="13064" max="13064" width="25.1796875" bestFit="1" customWidth="1"/>
    <col min="13065" max="13065" width="38" bestFit="1" customWidth="1"/>
    <col min="13313" max="13313" width="33.1796875" bestFit="1" customWidth="1"/>
    <col min="13314" max="13314" width="38.453125" bestFit="1" customWidth="1"/>
    <col min="13315" max="13315" width="41.81640625" bestFit="1" customWidth="1"/>
    <col min="13316" max="13316" width="32.54296875" bestFit="1" customWidth="1"/>
    <col min="13317" max="13317" width="29.453125" bestFit="1" customWidth="1"/>
    <col min="13318" max="13318" width="26.1796875" bestFit="1" customWidth="1"/>
    <col min="13319" max="13319" width="39.81640625" bestFit="1" customWidth="1"/>
    <col min="13320" max="13320" width="25.1796875" bestFit="1" customWidth="1"/>
    <col min="13321" max="13321" width="38" bestFit="1" customWidth="1"/>
    <col min="13569" max="13569" width="33.1796875" bestFit="1" customWidth="1"/>
    <col min="13570" max="13570" width="38.453125" bestFit="1" customWidth="1"/>
    <col min="13571" max="13571" width="41.81640625" bestFit="1" customWidth="1"/>
    <col min="13572" max="13572" width="32.54296875" bestFit="1" customWidth="1"/>
    <col min="13573" max="13573" width="29.453125" bestFit="1" customWidth="1"/>
    <col min="13574" max="13574" width="26.1796875" bestFit="1" customWidth="1"/>
    <col min="13575" max="13575" width="39.81640625" bestFit="1" customWidth="1"/>
    <col min="13576" max="13576" width="25.1796875" bestFit="1" customWidth="1"/>
    <col min="13577" max="13577" width="38" bestFit="1" customWidth="1"/>
    <col min="13825" max="13825" width="33.1796875" bestFit="1" customWidth="1"/>
    <col min="13826" max="13826" width="38.453125" bestFit="1" customWidth="1"/>
    <col min="13827" max="13827" width="41.81640625" bestFit="1" customWidth="1"/>
    <col min="13828" max="13828" width="32.54296875" bestFit="1" customWidth="1"/>
    <col min="13829" max="13829" width="29.453125" bestFit="1" customWidth="1"/>
    <col min="13830" max="13830" width="26.1796875" bestFit="1" customWidth="1"/>
    <col min="13831" max="13831" width="39.81640625" bestFit="1" customWidth="1"/>
    <col min="13832" max="13832" width="25.1796875" bestFit="1" customWidth="1"/>
    <col min="13833" max="13833" width="38" bestFit="1" customWidth="1"/>
    <col min="14081" max="14081" width="33.1796875" bestFit="1" customWidth="1"/>
    <col min="14082" max="14082" width="38.453125" bestFit="1" customWidth="1"/>
    <col min="14083" max="14083" width="41.81640625" bestFit="1" customWidth="1"/>
    <col min="14084" max="14084" width="32.54296875" bestFit="1" customWidth="1"/>
    <col min="14085" max="14085" width="29.453125" bestFit="1" customWidth="1"/>
    <col min="14086" max="14086" width="26.1796875" bestFit="1" customWidth="1"/>
    <col min="14087" max="14087" width="39.81640625" bestFit="1" customWidth="1"/>
    <col min="14088" max="14088" width="25.1796875" bestFit="1" customWidth="1"/>
    <col min="14089" max="14089" width="38" bestFit="1" customWidth="1"/>
    <col min="14337" max="14337" width="33.1796875" bestFit="1" customWidth="1"/>
    <col min="14338" max="14338" width="38.453125" bestFit="1" customWidth="1"/>
    <col min="14339" max="14339" width="41.81640625" bestFit="1" customWidth="1"/>
    <col min="14340" max="14340" width="32.54296875" bestFit="1" customWidth="1"/>
    <col min="14341" max="14341" width="29.453125" bestFit="1" customWidth="1"/>
    <col min="14342" max="14342" width="26.1796875" bestFit="1" customWidth="1"/>
    <col min="14343" max="14343" width="39.81640625" bestFit="1" customWidth="1"/>
    <col min="14344" max="14344" width="25.1796875" bestFit="1" customWidth="1"/>
    <col min="14345" max="14345" width="38" bestFit="1" customWidth="1"/>
    <col min="14593" max="14593" width="33.1796875" bestFit="1" customWidth="1"/>
    <col min="14594" max="14594" width="38.453125" bestFit="1" customWidth="1"/>
    <col min="14595" max="14595" width="41.81640625" bestFit="1" customWidth="1"/>
    <col min="14596" max="14596" width="32.54296875" bestFit="1" customWidth="1"/>
    <col min="14597" max="14597" width="29.453125" bestFit="1" customWidth="1"/>
    <col min="14598" max="14598" width="26.1796875" bestFit="1" customWidth="1"/>
    <col min="14599" max="14599" width="39.81640625" bestFit="1" customWidth="1"/>
    <col min="14600" max="14600" width="25.1796875" bestFit="1" customWidth="1"/>
    <col min="14601" max="14601" width="38" bestFit="1" customWidth="1"/>
    <col min="14849" max="14849" width="33.1796875" bestFit="1" customWidth="1"/>
    <col min="14850" max="14850" width="38.453125" bestFit="1" customWidth="1"/>
    <col min="14851" max="14851" width="41.81640625" bestFit="1" customWidth="1"/>
    <col min="14852" max="14852" width="32.54296875" bestFit="1" customWidth="1"/>
    <col min="14853" max="14853" width="29.453125" bestFit="1" customWidth="1"/>
    <col min="14854" max="14854" width="26.1796875" bestFit="1" customWidth="1"/>
    <col min="14855" max="14855" width="39.81640625" bestFit="1" customWidth="1"/>
    <col min="14856" max="14856" width="25.1796875" bestFit="1" customWidth="1"/>
    <col min="14857" max="14857" width="38" bestFit="1" customWidth="1"/>
    <col min="15105" max="15105" width="33.1796875" bestFit="1" customWidth="1"/>
    <col min="15106" max="15106" width="38.453125" bestFit="1" customWidth="1"/>
    <col min="15107" max="15107" width="41.81640625" bestFit="1" customWidth="1"/>
    <col min="15108" max="15108" width="32.54296875" bestFit="1" customWidth="1"/>
    <col min="15109" max="15109" width="29.453125" bestFit="1" customWidth="1"/>
    <col min="15110" max="15110" width="26.1796875" bestFit="1" customWidth="1"/>
    <col min="15111" max="15111" width="39.81640625" bestFit="1" customWidth="1"/>
    <col min="15112" max="15112" width="25.1796875" bestFit="1" customWidth="1"/>
    <col min="15113" max="15113" width="38" bestFit="1" customWidth="1"/>
    <col min="15361" max="15361" width="33.1796875" bestFit="1" customWidth="1"/>
    <col min="15362" max="15362" width="38.453125" bestFit="1" customWidth="1"/>
    <col min="15363" max="15363" width="41.81640625" bestFit="1" customWidth="1"/>
    <col min="15364" max="15364" width="32.54296875" bestFit="1" customWidth="1"/>
    <col min="15365" max="15365" width="29.453125" bestFit="1" customWidth="1"/>
    <col min="15366" max="15366" width="26.1796875" bestFit="1" customWidth="1"/>
    <col min="15367" max="15367" width="39.81640625" bestFit="1" customWidth="1"/>
    <col min="15368" max="15368" width="25.1796875" bestFit="1" customWidth="1"/>
    <col min="15369" max="15369" width="38" bestFit="1" customWidth="1"/>
    <col min="15617" max="15617" width="33.1796875" bestFit="1" customWidth="1"/>
    <col min="15618" max="15618" width="38.453125" bestFit="1" customWidth="1"/>
    <col min="15619" max="15619" width="41.81640625" bestFit="1" customWidth="1"/>
    <col min="15620" max="15620" width="32.54296875" bestFit="1" customWidth="1"/>
    <col min="15621" max="15621" width="29.453125" bestFit="1" customWidth="1"/>
    <col min="15622" max="15622" width="26.1796875" bestFit="1" customWidth="1"/>
    <col min="15623" max="15623" width="39.81640625" bestFit="1" customWidth="1"/>
    <col min="15624" max="15624" width="25.1796875" bestFit="1" customWidth="1"/>
    <col min="15625" max="15625" width="38" bestFit="1" customWidth="1"/>
    <col min="15873" max="15873" width="33.1796875" bestFit="1" customWidth="1"/>
    <col min="15874" max="15874" width="38.453125" bestFit="1" customWidth="1"/>
    <col min="15875" max="15875" width="41.81640625" bestFit="1" customWidth="1"/>
    <col min="15876" max="15876" width="32.54296875" bestFit="1" customWidth="1"/>
    <col min="15877" max="15877" width="29.453125" bestFit="1" customWidth="1"/>
    <col min="15878" max="15878" width="26.1796875" bestFit="1" customWidth="1"/>
    <col min="15879" max="15879" width="39.81640625" bestFit="1" customWidth="1"/>
    <col min="15880" max="15880" width="25.1796875" bestFit="1" customWidth="1"/>
    <col min="15881" max="15881" width="38" bestFit="1" customWidth="1"/>
    <col min="16129" max="16129" width="33.1796875" bestFit="1" customWidth="1"/>
    <col min="16130" max="16130" width="38.453125" bestFit="1" customWidth="1"/>
    <col min="16131" max="16131" width="41.81640625" bestFit="1" customWidth="1"/>
    <col min="16132" max="16132" width="32.54296875" bestFit="1" customWidth="1"/>
    <col min="16133" max="16133" width="29.453125" bestFit="1" customWidth="1"/>
    <col min="16134" max="16134" width="26.1796875" bestFit="1" customWidth="1"/>
    <col min="16135" max="16135" width="39.81640625" bestFit="1" customWidth="1"/>
    <col min="16136" max="16136" width="25.1796875" bestFit="1" customWidth="1"/>
    <col min="16137" max="16137" width="38" bestFit="1" customWidth="1"/>
  </cols>
  <sheetData>
    <row r="2" spans="1:32" ht="10.75" customHeight="1" x14ac:dyDescent="0.35">
      <c r="A2" s="62" t="s">
        <v>273</v>
      </c>
      <c r="B2" s="62" t="s">
        <v>274</v>
      </c>
      <c r="D2" s="62" t="s">
        <v>160</v>
      </c>
      <c r="E2" s="62" t="s">
        <v>275</v>
      </c>
      <c r="F2" s="62" t="s">
        <v>276</v>
      </c>
      <c r="G2" s="62" t="s">
        <v>277</v>
      </c>
      <c r="H2" s="62" t="s">
        <v>278</v>
      </c>
      <c r="I2" s="63" t="s">
        <v>279</v>
      </c>
      <c r="J2" s="63" t="s">
        <v>280</v>
      </c>
      <c r="K2" s="63" t="s">
        <v>281</v>
      </c>
      <c r="L2" s="63" t="s">
        <v>282</v>
      </c>
      <c r="Q2" s="62" t="s">
        <v>15</v>
      </c>
    </row>
    <row r="3" spans="1:32" ht="151.75" customHeight="1" x14ac:dyDescent="0.35">
      <c r="A3" s="64" t="s">
        <v>283</v>
      </c>
      <c r="B3" s="65" t="s">
        <v>284</v>
      </c>
      <c r="D3" s="65" t="s">
        <v>285</v>
      </c>
      <c r="E3" s="66" t="s">
        <v>150</v>
      </c>
      <c r="F3" s="66" t="s">
        <v>286</v>
      </c>
      <c r="G3" s="65" t="s">
        <v>287</v>
      </c>
      <c r="H3" s="67" t="s">
        <v>288</v>
      </c>
      <c r="I3" s="68" t="s">
        <v>289</v>
      </c>
      <c r="J3" s="69" t="s">
        <v>290</v>
      </c>
      <c r="K3" s="70" t="s">
        <v>291</v>
      </c>
      <c r="L3" s="68" t="s">
        <v>292</v>
      </c>
      <c r="Q3" s="65" t="s">
        <v>32</v>
      </c>
      <c r="T3" t="s">
        <v>32</v>
      </c>
      <c r="V3" t="s">
        <v>32</v>
      </c>
      <c r="X3" t="s">
        <v>32</v>
      </c>
      <c r="Z3" t="s">
        <v>32</v>
      </c>
      <c r="AB3" t="s">
        <v>32</v>
      </c>
      <c r="AD3" t="s">
        <v>32</v>
      </c>
      <c r="AF3" t="s">
        <v>32</v>
      </c>
    </row>
    <row r="4" spans="1:32" ht="151.75" customHeight="1" x14ac:dyDescent="0.35">
      <c r="A4" s="64" t="s">
        <v>293</v>
      </c>
      <c r="B4" s="65" t="s">
        <v>294</v>
      </c>
      <c r="D4" s="65"/>
      <c r="E4" s="66" t="s">
        <v>295</v>
      </c>
      <c r="F4" s="66" t="s">
        <v>244</v>
      </c>
      <c r="G4" s="65" t="s">
        <v>296</v>
      </c>
      <c r="H4" s="67" t="s">
        <v>297</v>
      </c>
      <c r="I4" s="68" t="s">
        <v>298</v>
      </c>
      <c r="J4" s="69" t="s">
        <v>299</v>
      </c>
      <c r="K4" s="70" t="s">
        <v>300</v>
      </c>
      <c r="L4" s="68" t="s">
        <v>182</v>
      </c>
      <c r="Q4" s="65" t="s">
        <v>301</v>
      </c>
      <c r="T4" t="s">
        <v>302</v>
      </c>
      <c r="V4" t="s">
        <v>302</v>
      </c>
      <c r="X4" t="s">
        <v>302</v>
      </c>
      <c r="Z4" t="s">
        <v>302</v>
      </c>
      <c r="AB4" t="s">
        <v>302</v>
      </c>
      <c r="AD4" t="s">
        <v>302</v>
      </c>
      <c r="AF4" t="s">
        <v>302</v>
      </c>
    </row>
    <row r="5" spans="1:32" ht="151.75" customHeight="1" x14ac:dyDescent="0.35">
      <c r="A5" s="64" t="s">
        <v>303</v>
      </c>
      <c r="B5" s="65" t="s">
        <v>304</v>
      </c>
      <c r="D5" s="65" t="s">
        <v>305</v>
      </c>
      <c r="E5" s="66" t="s">
        <v>306</v>
      </c>
      <c r="F5" s="66" t="s">
        <v>307</v>
      </c>
      <c r="G5" s="65" t="s">
        <v>308</v>
      </c>
      <c r="H5" s="67" t="s">
        <v>309</v>
      </c>
      <c r="I5" s="68"/>
      <c r="J5" s="69" t="s">
        <v>310</v>
      </c>
      <c r="K5" s="70" t="s">
        <v>311</v>
      </c>
      <c r="L5" s="68" t="s">
        <v>312</v>
      </c>
      <c r="Q5" s="65" t="s">
        <v>44</v>
      </c>
      <c r="T5" t="s">
        <v>44</v>
      </c>
      <c r="V5" t="s">
        <v>44</v>
      </c>
      <c r="X5" t="s">
        <v>44</v>
      </c>
      <c r="Z5" t="s">
        <v>44</v>
      </c>
      <c r="AB5" t="s">
        <v>44</v>
      </c>
      <c r="AD5" t="s">
        <v>44</v>
      </c>
      <c r="AF5" t="s">
        <v>44</v>
      </c>
    </row>
    <row r="6" spans="1:32" ht="151.75" customHeight="1" x14ac:dyDescent="0.35">
      <c r="A6" s="64" t="s">
        <v>313</v>
      </c>
      <c r="B6" s="65" t="s">
        <v>314</v>
      </c>
      <c r="D6" s="65" t="s">
        <v>315</v>
      </c>
      <c r="E6" s="66" t="s">
        <v>316</v>
      </c>
      <c r="F6" s="66" t="s">
        <v>317</v>
      </c>
      <c r="G6" s="65" t="s">
        <v>318</v>
      </c>
      <c r="H6" s="67" t="s">
        <v>319</v>
      </c>
      <c r="I6" s="68"/>
      <c r="J6" s="69" t="s">
        <v>320</v>
      </c>
      <c r="K6" s="70" t="s">
        <v>321</v>
      </c>
      <c r="L6" s="68" t="s">
        <v>185</v>
      </c>
      <c r="Q6" s="65" t="s">
        <v>25</v>
      </c>
      <c r="T6" t="s">
        <v>25</v>
      </c>
      <c r="V6" t="s">
        <v>25</v>
      </c>
      <c r="X6" t="s">
        <v>25</v>
      </c>
      <c r="Z6" t="s">
        <v>25</v>
      </c>
      <c r="AB6" t="s">
        <v>25</v>
      </c>
      <c r="AD6" t="s">
        <v>25</v>
      </c>
      <c r="AF6" t="s">
        <v>25</v>
      </c>
    </row>
    <row r="7" spans="1:32" ht="151.75" customHeight="1" x14ac:dyDescent="0.35">
      <c r="A7" s="64" t="s">
        <v>322</v>
      </c>
      <c r="B7" s="65" t="s">
        <v>323</v>
      </c>
      <c r="D7" s="65"/>
      <c r="E7" s="66" t="s">
        <v>324</v>
      </c>
      <c r="F7" s="66" t="s">
        <v>157</v>
      </c>
      <c r="G7" s="65" t="s">
        <v>325</v>
      </c>
      <c r="H7" s="67" t="s">
        <v>326</v>
      </c>
      <c r="I7" s="68"/>
      <c r="J7" s="69" t="s">
        <v>327</v>
      </c>
      <c r="K7" s="70" t="s">
        <v>328</v>
      </c>
      <c r="L7" s="68" t="s">
        <v>188</v>
      </c>
      <c r="Q7" s="65" t="s">
        <v>50</v>
      </c>
      <c r="T7" t="s">
        <v>50</v>
      </c>
      <c r="V7" t="s">
        <v>50</v>
      </c>
      <c r="X7" t="s">
        <v>50</v>
      </c>
      <c r="Z7" t="s">
        <v>50</v>
      </c>
      <c r="AB7" t="s">
        <v>50</v>
      </c>
      <c r="AD7" t="s">
        <v>50</v>
      </c>
      <c r="AF7" t="s">
        <v>50</v>
      </c>
    </row>
    <row r="8" spans="1:32" x14ac:dyDescent="0.35">
      <c r="A8" s="64" t="s">
        <v>329</v>
      </c>
      <c r="B8" s="64" t="s">
        <v>330</v>
      </c>
      <c r="C8" s="64"/>
      <c r="D8" s="73"/>
      <c r="E8" s="74" t="s">
        <v>331</v>
      </c>
      <c r="F8" s="64" t="s">
        <v>332</v>
      </c>
      <c r="G8" s="71" t="s">
        <v>333</v>
      </c>
      <c r="H8" s="65" t="s">
        <v>334</v>
      </c>
      <c r="J8" s="69" t="s">
        <v>335</v>
      </c>
      <c r="K8" s="81"/>
      <c r="L8" s="81" t="s">
        <v>191</v>
      </c>
    </row>
    <row r="9" spans="1:32" x14ac:dyDescent="0.35">
      <c r="A9" s="64" t="s">
        <v>336</v>
      </c>
      <c r="B9" s="64" t="s">
        <v>337</v>
      </c>
      <c r="C9" s="64"/>
      <c r="D9" s="73"/>
      <c r="E9" s="74" t="s">
        <v>338</v>
      </c>
      <c r="F9" s="64" t="s">
        <v>139</v>
      </c>
      <c r="G9" s="73"/>
      <c r="H9" s="65" t="s">
        <v>339</v>
      </c>
      <c r="J9" s="69" t="s">
        <v>340</v>
      </c>
      <c r="K9" s="81"/>
      <c r="L9" s="68" t="s">
        <v>341</v>
      </c>
    </row>
    <row r="10" spans="1:32" x14ac:dyDescent="0.35">
      <c r="A10" s="75" t="s">
        <v>342</v>
      </c>
      <c r="B10" s="74" t="s">
        <v>343</v>
      </c>
      <c r="C10" s="74"/>
      <c r="D10" s="73"/>
      <c r="E10" s="74" t="s">
        <v>344</v>
      </c>
      <c r="F10" s="64" t="s">
        <v>152</v>
      </c>
      <c r="G10" s="73"/>
      <c r="H10" s="65" t="s">
        <v>345</v>
      </c>
      <c r="J10" s="69" t="s">
        <v>346</v>
      </c>
      <c r="L10" s="86" t="s">
        <v>347</v>
      </c>
    </row>
    <row r="11" spans="1:32" x14ac:dyDescent="0.35">
      <c r="A11" s="75" t="s">
        <v>348</v>
      </c>
      <c r="B11" s="74" t="s">
        <v>349</v>
      </c>
      <c r="C11" s="74"/>
      <c r="D11" s="73"/>
      <c r="E11" s="85" t="s">
        <v>155</v>
      </c>
      <c r="F11" s="76"/>
      <c r="G11" s="73"/>
      <c r="J11" s="69" t="s">
        <v>350</v>
      </c>
      <c r="L11" s="86" t="s">
        <v>351</v>
      </c>
    </row>
    <row r="12" spans="1:32" x14ac:dyDescent="0.35">
      <c r="A12" s="77" t="s">
        <v>352</v>
      </c>
      <c r="B12" s="74" t="s">
        <v>353</v>
      </c>
      <c r="C12" s="74"/>
      <c r="D12" s="73"/>
      <c r="F12" s="64"/>
      <c r="G12" s="73"/>
      <c r="J12" s="70" t="s">
        <v>354</v>
      </c>
      <c r="L12" s="81" t="s">
        <v>355</v>
      </c>
    </row>
    <row r="13" spans="1:32" x14ac:dyDescent="0.35">
      <c r="A13" s="75" t="s">
        <v>356</v>
      </c>
      <c r="B13" s="65" t="s">
        <v>357</v>
      </c>
      <c r="C13" s="65"/>
      <c r="D13" s="73"/>
      <c r="F13" s="64"/>
      <c r="G13" s="73"/>
      <c r="H13" s="73"/>
      <c r="J13" s="70" t="s">
        <v>358</v>
      </c>
      <c r="L13" s="81" t="s">
        <v>359</v>
      </c>
    </row>
    <row r="14" spans="1:32" x14ac:dyDescent="0.35">
      <c r="A14" s="77" t="s">
        <v>360</v>
      </c>
      <c r="B14" s="65" t="s">
        <v>361</v>
      </c>
      <c r="C14" s="65"/>
      <c r="D14" s="73"/>
      <c r="F14" s="64"/>
      <c r="G14" s="73"/>
      <c r="H14" s="73"/>
      <c r="J14" s="70" t="s">
        <v>362</v>
      </c>
    </row>
    <row r="15" spans="1:32" x14ac:dyDescent="0.35">
      <c r="A15" s="77" t="s">
        <v>363</v>
      </c>
      <c r="D15" s="73"/>
      <c r="E15" s="73"/>
      <c r="G15" s="73"/>
      <c r="H15" s="73"/>
      <c r="J15" s="70" t="s">
        <v>364</v>
      </c>
    </row>
    <row r="16" spans="1:32" x14ac:dyDescent="0.35">
      <c r="A16" s="78" t="s">
        <v>365</v>
      </c>
      <c r="D16" s="73"/>
      <c r="E16" s="73"/>
      <c r="F16" s="73"/>
      <c r="G16" s="73"/>
      <c r="H16" s="73"/>
      <c r="J16" s="70" t="s">
        <v>366</v>
      </c>
    </row>
    <row r="17" spans="1:10" x14ac:dyDescent="0.35">
      <c r="A17" s="64" t="s">
        <v>367</v>
      </c>
      <c r="D17" s="73"/>
      <c r="E17" s="73"/>
      <c r="F17" s="73"/>
      <c r="G17" s="73"/>
      <c r="H17" s="73"/>
      <c r="J17" s="69" t="s">
        <v>368</v>
      </c>
    </row>
    <row r="18" spans="1:10" x14ac:dyDescent="0.35">
      <c r="A18" s="64" t="s">
        <v>369</v>
      </c>
      <c r="D18" s="73"/>
      <c r="E18" s="73"/>
      <c r="F18" s="73"/>
      <c r="G18" s="73"/>
      <c r="H18" s="73"/>
      <c r="J18" s="69" t="s">
        <v>370</v>
      </c>
    </row>
    <row r="19" spans="1:10" x14ac:dyDescent="0.35">
      <c r="A19" s="64" t="s">
        <v>371</v>
      </c>
      <c r="B19" s="65"/>
      <c r="C19" s="65"/>
      <c r="D19" s="73"/>
      <c r="E19" s="73"/>
      <c r="F19" s="73"/>
      <c r="G19" s="73"/>
      <c r="H19" s="73"/>
      <c r="J19" s="69" t="s">
        <v>372</v>
      </c>
    </row>
    <row r="20" spans="1:10" x14ac:dyDescent="0.35">
      <c r="A20" s="75" t="s">
        <v>373</v>
      </c>
      <c r="B20" s="72"/>
      <c r="C20" s="72"/>
      <c r="D20" s="73"/>
      <c r="E20" s="73"/>
      <c r="F20" s="73"/>
      <c r="G20" s="73"/>
      <c r="H20" s="73"/>
      <c r="J20" s="70" t="s">
        <v>374</v>
      </c>
    </row>
    <row r="21" spans="1:10" x14ac:dyDescent="0.35">
      <c r="A21" s="75" t="s">
        <v>375</v>
      </c>
      <c r="D21" s="73"/>
      <c r="E21" s="73"/>
      <c r="F21" s="73"/>
      <c r="G21" s="73"/>
      <c r="H21" s="73"/>
      <c r="J21" s="70" t="s">
        <v>376</v>
      </c>
    </row>
    <row r="22" spans="1:10" x14ac:dyDescent="0.35">
      <c r="A22" s="75" t="s">
        <v>377</v>
      </c>
      <c r="D22" s="73"/>
      <c r="E22" s="73"/>
      <c r="F22" s="73"/>
      <c r="G22" s="73"/>
      <c r="H22" s="73"/>
      <c r="J22" s="70" t="s">
        <v>374</v>
      </c>
    </row>
    <row r="23" spans="1:10" x14ac:dyDescent="0.35">
      <c r="A23" s="75" t="s">
        <v>378</v>
      </c>
      <c r="D23" s="73"/>
      <c r="E23" s="73"/>
      <c r="F23" s="73"/>
      <c r="G23" s="73"/>
      <c r="H23" s="73"/>
      <c r="J23" s="70" t="s">
        <v>376</v>
      </c>
    </row>
    <row r="24" spans="1:10" x14ac:dyDescent="0.35">
      <c r="A24" s="75" t="s">
        <v>379</v>
      </c>
      <c r="B24" s="73"/>
      <c r="C24" s="73"/>
      <c r="D24" s="73"/>
      <c r="E24" s="73"/>
      <c r="F24" s="73"/>
      <c r="G24" s="73"/>
      <c r="H24" s="73"/>
      <c r="J24" s="70" t="s">
        <v>380</v>
      </c>
    </row>
    <row r="25" spans="1:10" x14ac:dyDescent="0.35">
      <c r="A25" s="75" t="s">
        <v>381</v>
      </c>
      <c r="B25" s="73"/>
      <c r="C25" s="73"/>
      <c r="D25" s="73"/>
      <c r="E25" s="73"/>
      <c r="F25" s="73"/>
      <c r="G25" s="73"/>
      <c r="H25" s="73"/>
      <c r="J25" s="79" t="s">
        <v>173</v>
      </c>
    </row>
    <row r="26" spans="1:10" x14ac:dyDescent="0.35">
      <c r="A26" s="75" t="s">
        <v>382</v>
      </c>
      <c r="B26" s="73"/>
      <c r="C26" s="73"/>
      <c r="D26" s="73"/>
      <c r="E26" s="73"/>
      <c r="F26" s="73"/>
      <c r="G26" s="73"/>
      <c r="H26" s="73"/>
      <c r="J26" s="80" t="s">
        <v>383</v>
      </c>
    </row>
    <row r="27" spans="1:10" x14ac:dyDescent="0.35">
      <c r="A27" s="75" t="s">
        <v>384</v>
      </c>
      <c r="B27" s="73"/>
      <c r="C27" s="73"/>
      <c r="D27" s="73"/>
      <c r="E27" s="73"/>
      <c r="F27" s="73"/>
      <c r="G27" s="73"/>
      <c r="H27" s="73"/>
      <c r="J27" s="80" t="s">
        <v>385</v>
      </c>
    </row>
    <row r="28" spans="1:10" x14ac:dyDescent="0.35">
      <c r="A28" s="75" t="s">
        <v>386</v>
      </c>
      <c r="B28" s="73"/>
      <c r="C28" s="73"/>
      <c r="D28" s="73"/>
      <c r="E28" s="73"/>
      <c r="F28" s="73"/>
      <c r="G28" s="73"/>
      <c r="H28" s="73"/>
      <c r="J28" s="81" t="s">
        <v>387</v>
      </c>
    </row>
    <row r="29" spans="1:10" x14ac:dyDescent="0.35">
      <c r="A29" s="77" t="s">
        <v>388</v>
      </c>
      <c r="B29" s="73"/>
      <c r="C29" s="73"/>
      <c r="D29" s="73"/>
      <c r="E29" s="73"/>
      <c r="F29" s="73"/>
      <c r="G29" s="73"/>
      <c r="H29" s="73"/>
      <c r="J29" s="80" t="s">
        <v>385</v>
      </c>
    </row>
    <row r="30" spans="1:10" x14ac:dyDescent="0.35">
      <c r="A30" s="77" t="s">
        <v>389</v>
      </c>
      <c r="B30" s="73"/>
      <c r="C30" s="73"/>
      <c r="D30" s="73"/>
      <c r="E30" s="73"/>
      <c r="F30" s="73"/>
      <c r="G30" s="73"/>
      <c r="H30" s="73"/>
      <c r="J30" s="81" t="s">
        <v>387</v>
      </c>
    </row>
    <row r="31" spans="1:10" x14ac:dyDescent="0.35">
      <c r="A31" s="64" t="s">
        <v>390</v>
      </c>
      <c r="B31" s="73"/>
      <c r="C31" s="73"/>
      <c r="D31" s="73"/>
      <c r="E31" s="73"/>
      <c r="F31" s="73"/>
      <c r="G31" s="73"/>
      <c r="H31" s="73"/>
    </row>
    <row r="32" spans="1:10" x14ac:dyDescent="0.35">
      <c r="A32" s="65" t="s">
        <v>391</v>
      </c>
      <c r="B32" s="73"/>
      <c r="C32" s="73"/>
      <c r="D32" s="73"/>
      <c r="E32" s="73"/>
      <c r="F32" s="73"/>
      <c r="G32" s="73"/>
      <c r="H32" s="73"/>
    </row>
    <row r="33" spans="1:8" x14ac:dyDescent="0.35">
      <c r="A33" s="64" t="s">
        <v>392</v>
      </c>
      <c r="B33" s="73"/>
      <c r="C33" s="73"/>
      <c r="D33" s="73"/>
      <c r="E33" s="73"/>
      <c r="F33" s="73"/>
      <c r="G33" s="73"/>
      <c r="H33" s="73"/>
    </row>
    <row r="34" spans="1:8" x14ac:dyDescent="0.35">
      <c r="A34" s="64" t="s">
        <v>393</v>
      </c>
      <c r="B34" s="73"/>
      <c r="C34" s="73"/>
      <c r="D34" s="73"/>
      <c r="E34" s="73"/>
      <c r="F34" s="73"/>
      <c r="G34" s="73"/>
      <c r="H34" s="73"/>
    </row>
    <row r="35" spans="1:8" x14ac:dyDescent="0.35">
      <c r="A35" s="64" t="s">
        <v>394</v>
      </c>
      <c r="B35" s="73"/>
      <c r="C35" s="73"/>
      <c r="D35" s="73"/>
      <c r="E35" s="73"/>
      <c r="F35" s="73"/>
      <c r="G35" s="73"/>
      <c r="H35" s="73"/>
    </row>
    <row r="36" spans="1:8" x14ac:dyDescent="0.35">
      <c r="A36" s="64" t="s">
        <v>395</v>
      </c>
      <c r="B36" s="73"/>
      <c r="C36" s="73"/>
      <c r="D36" s="73"/>
      <c r="E36" s="73"/>
      <c r="F36" s="73"/>
      <c r="G36" s="73"/>
      <c r="H36" s="73"/>
    </row>
    <row r="37" spans="1:8" x14ac:dyDescent="0.35">
      <c r="A37" s="64" t="s">
        <v>396</v>
      </c>
      <c r="B37" s="73"/>
      <c r="C37" s="73"/>
      <c r="D37" s="73"/>
      <c r="E37" s="73"/>
      <c r="F37" s="73"/>
      <c r="G37" s="73"/>
      <c r="H37" s="73"/>
    </row>
    <row r="38" spans="1:8" x14ac:dyDescent="0.35">
      <c r="A38" s="64" t="s">
        <v>397</v>
      </c>
      <c r="B38" s="73"/>
      <c r="C38" s="73"/>
      <c r="D38" s="73"/>
      <c r="E38" s="73"/>
      <c r="F38" s="73"/>
      <c r="G38" s="73"/>
      <c r="H38" s="73"/>
    </row>
    <row r="39" spans="1:8" x14ac:dyDescent="0.35">
      <c r="A39" s="64" t="s">
        <v>398</v>
      </c>
      <c r="B39" s="73"/>
      <c r="C39" s="73"/>
      <c r="D39" s="73"/>
      <c r="E39" s="73"/>
      <c r="F39" s="73"/>
      <c r="G39" s="73"/>
      <c r="H39" s="73"/>
    </row>
    <row r="40" spans="1:8" x14ac:dyDescent="0.35">
      <c r="A40" s="64" t="s">
        <v>399</v>
      </c>
      <c r="B40" s="73"/>
      <c r="C40" s="73"/>
      <c r="D40" s="73"/>
      <c r="E40" s="73"/>
      <c r="F40" s="73"/>
      <c r="G40" s="73"/>
      <c r="H40" s="73"/>
    </row>
    <row r="41" spans="1:8" x14ac:dyDescent="0.35">
      <c r="A41" s="65" t="s">
        <v>400</v>
      </c>
      <c r="B41" s="73"/>
      <c r="C41" s="73"/>
      <c r="D41" s="73"/>
      <c r="E41" s="73"/>
      <c r="F41" s="73"/>
      <c r="G41" s="73"/>
      <c r="H41" s="73"/>
    </row>
    <row r="42" spans="1:8" x14ac:dyDescent="0.35">
      <c r="A42" s="65" t="s">
        <v>401</v>
      </c>
      <c r="B42" s="73"/>
      <c r="C42" s="73"/>
      <c r="D42" s="73"/>
      <c r="E42" s="73"/>
      <c r="F42" s="73"/>
      <c r="G42" s="73"/>
      <c r="H42" s="73"/>
    </row>
    <row r="43" spans="1:8" x14ac:dyDescent="0.35">
      <c r="A43" s="65" t="s">
        <v>402</v>
      </c>
      <c r="B43" s="73"/>
      <c r="C43" s="73"/>
      <c r="D43" s="73"/>
      <c r="E43" s="73"/>
      <c r="F43" s="73"/>
      <c r="G43" s="73"/>
      <c r="H43" s="73"/>
    </row>
    <row r="44" spans="1:8" x14ac:dyDescent="0.35">
      <c r="A44" s="65" t="s">
        <v>403</v>
      </c>
      <c r="B44" s="73"/>
      <c r="C44" s="73"/>
      <c r="D44" s="73"/>
      <c r="E44" s="73"/>
      <c r="F44" s="73"/>
      <c r="G44" s="73"/>
      <c r="H44" s="73"/>
    </row>
    <row r="45" spans="1:8" x14ac:dyDescent="0.35">
      <c r="A45" s="65" t="s">
        <v>404</v>
      </c>
      <c r="B45" s="73"/>
      <c r="C45" s="73"/>
      <c r="D45" s="73"/>
      <c r="E45" s="73"/>
      <c r="F45" s="73"/>
      <c r="G45" s="73"/>
      <c r="H45" s="73"/>
    </row>
    <row r="46" spans="1:8" x14ac:dyDescent="0.35">
      <c r="A46" s="65" t="s">
        <v>405</v>
      </c>
      <c r="B46" s="73"/>
      <c r="C46" s="73"/>
      <c r="D46" s="73"/>
      <c r="E46" s="73"/>
      <c r="F46" s="73"/>
      <c r="G46" s="73"/>
      <c r="H46" s="73"/>
    </row>
    <row r="47" spans="1:8" x14ac:dyDescent="0.35">
      <c r="A47" s="65" t="s">
        <v>406</v>
      </c>
      <c r="B47" s="73"/>
      <c r="C47" s="73"/>
      <c r="D47" s="73"/>
      <c r="E47" s="73"/>
      <c r="F47" s="73"/>
      <c r="G47" s="73"/>
      <c r="H47" s="73"/>
    </row>
    <row r="48" spans="1:8" x14ac:dyDescent="0.35">
      <c r="A48" s="65" t="s">
        <v>407</v>
      </c>
      <c r="B48" s="73"/>
      <c r="C48" s="73"/>
      <c r="D48" s="73"/>
      <c r="E48" s="73"/>
      <c r="F48" s="73"/>
      <c r="G48" s="73"/>
      <c r="H48" s="73"/>
    </row>
    <row r="49" spans="1:8" x14ac:dyDescent="0.35">
      <c r="A49" s="65" t="s">
        <v>408</v>
      </c>
      <c r="B49" s="73"/>
      <c r="C49" s="73"/>
      <c r="D49" s="73"/>
      <c r="E49" s="73"/>
      <c r="F49" s="73"/>
      <c r="G49" s="73"/>
      <c r="H49" s="73"/>
    </row>
    <row r="50" spans="1:8" x14ac:dyDescent="0.35">
      <c r="B50" s="73"/>
      <c r="C50" s="73"/>
      <c r="D50" s="73"/>
      <c r="E50" s="73"/>
      <c r="F50" s="73"/>
      <c r="G50" s="73"/>
      <c r="H50" s="73"/>
    </row>
    <row r="51" spans="1:8" x14ac:dyDescent="0.35">
      <c r="B51" s="73"/>
      <c r="C51" s="73"/>
      <c r="D51" s="73"/>
      <c r="E51" s="73"/>
      <c r="F51" s="73"/>
      <c r="G51" s="73"/>
      <c r="H51" s="73"/>
    </row>
    <row r="52" spans="1:8" x14ac:dyDescent="0.35">
      <c r="B52" s="73"/>
      <c r="C52" s="73"/>
      <c r="D52" s="73"/>
      <c r="E52" s="73"/>
      <c r="F52" s="73"/>
      <c r="G52" s="73"/>
      <c r="H52" s="73"/>
    </row>
    <row r="53" spans="1:8" x14ac:dyDescent="0.35">
      <c r="A53" s="82"/>
      <c r="B53" s="73"/>
      <c r="C53" s="73"/>
      <c r="D53" s="73"/>
      <c r="E53" s="73"/>
      <c r="F53" s="73"/>
      <c r="G53" s="73"/>
      <c r="H53" s="73"/>
    </row>
    <row r="54" spans="1:8" x14ac:dyDescent="0.35">
      <c r="A54" s="82"/>
      <c r="B54" s="73"/>
      <c r="C54" s="73"/>
      <c r="D54" s="73"/>
      <c r="E54" s="73"/>
      <c r="F54" s="73"/>
      <c r="G54" s="73"/>
      <c r="H54" s="73"/>
    </row>
    <row r="55" spans="1:8" x14ac:dyDescent="0.35">
      <c r="A55" s="82"/>
      <c r="B55" s="73"/>
      <c r="C55" s="73"/>
      <c r="D55" s="73"/>
      <c r="E55" s="73"/>
      <c r="F55" s="73"/>
      <c r="G55" s="73"/>
      <c r="H55" s="73"/>
    </row>
    <row r="56" spans="1:8" x14ac:dyDescent="0.35">
      <c r="A56" s="82"/>
      <c r="B56" s="73"/>
      <c r="C56" s="73"/>
      <c r="D56" s="73"/>
      <c r="E56" s="73"/>
      <c r="F56" s="73"/>
      <c r="G56" s="73"/>
      <c r="H56" s="73"/>
    </row>
    <row r="57" spans="1:8" x14ac:dyDescent="0.35">
      <c r="B57" s="73"/>
      <c r="C57" s="73"/>
      <c r="D57" s="73"/>
      <c r="E57" s="73"/>
      <c r="F57" s="73"/>
      <c r="G57" s="73"/>
      <c r="H57" s="73"/>
    </row>
    <row r="58" spans="1:8" x14ac:dyDescent="0.35">
      <c r="B58" s="73"/>
      <c r="C58" s="73"/>
      <c r="D58" s="73"/>
      <c r="E58" s="73"/>
      <c r="F58" s="73"/>
      <c r="G58" s="73"/>
      <c r="H58" s="73"/>
    </row>
    <row r="59" spans="1:8" x14ac:dyDescent="0.35">
      <c r="B59" s="73"/>
      <c r="C59" s="73"/>
      <c r="D59" s="73"/>
      <c r="E59" s="73"/>
      <c r="F59" s="73"/>
      <c r="G59" s="73"/>
      <c r="H59" s="73"/>
    </row>
    <row r="60" spans="1:8" x14ac:dyDescent="0.35">
      <c r="B60" s="73"/>
      <c r="C60" s="73"/>
      <c r="D60" s="73"/>
      <c r="E60" s="73"/>
      <c r="F60" s="73"/>
      <c r="G60" s="73"/>
      <c r="H60" s="73"/>
    </row>
    <row r="61" spans="1:8" x14ac:dyDescent="0.35">
      <c r="B61" s="73"/>
      <c r="C61" s="73"/>
      <c r="D61" s="73"/>
      <c r="E61" s="73"/>
      <c r="F61" s="73"/>
      <c r="G61" s="73"/>
      <c r="H61" s="73"/>
    </row>
    <row r="62" spans="1:8" x14ac:dyDescent="0.35">
      <c r="A62" s="65"/>
      <c r="B62" s="73"/>
      <c r="C62" s="73"/>
      <c r="D62" s="73"/>
      <c r="E62" s="73"/>
      <c r="F62" s="73"/>
      <c r="G62" s="73"/>
      <c r="H62" s="73"/>
    </row>
    <row r="63" spans="1:8" x14ac:dyDescent="0.35">
      <c r="B63" s="73"/>
      <c r="C63" s="73"/>
      <c r="D63" s="73"/>
      <c r="E63" s="73"/>
      <c r="F63" s="73"/>
      <c r="G63" s="73"/>
      <c r="H63" s="73"/>
    </row>
    <row r="64" spans="1:8" x14ac:dyDescent="0.35">
      <c r="B64" s="73"/>
      <c r="C64" s="73"/>
      <c r="D64" s="73"/>
      <c r="E64" s="73"/>
      <c r="F64" s="73"/>
      <c r="G64" s="73"/>
      <c r="H64" s="73"/>
    </row>
    <row r="65" spans="1:8" x14ac:dyDescent="0.35">
      <c r="B65" s="73"/>
      <c r="C65" s="73"/>
      <c r="D65" s="73"/>
      <c r="E65" s="73"/>
      <c r="F65" s="73"/>
      <c r="G65" s="73"/>
      <c r="H65" s="73"/>
    </row>
    <row r="66" spans="1:8" x14ac:dyDescent="0.35">
      <c r="B66" s="73"/>
      <c r="C66" s="73"/>
      <c r="D66" s="73"/>
      <c r="E66" s="73"/>
      <c r="F66" s="73"/>
      <c r="G66" s="73"/>
      <c r="H66" s="73"/>
    </row>
    <row r="67" spans="1:8" x14ac:dyDescent="0.35">
      <c r="B67" s="73"/>
      <c r="C67" s="73"/>
      <c r="D67" s="73"/>
      <c r="E67" s="73"/>
      <c r="F67" s="73"/>
      <c r="G67" s="73"/>
      <c r="H67" s="73"/>
    </row>
    <row r="68" spans="1:8" x14ac:dyDescent="0.35">
      <c r="A68" s="83"/>
      <c r="B68" s="83"/>
      <c r="C68" s="83"/>
      <c r="D68" s="83"/>
      <c r="E68" s="83"/>
      <c r="F68" s="83"/>
      <c r="G68" s="83"/>
      <c r="H68" s="8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M26"/>
  <sheetViews>
    <sheetView topLeftCell="D8" zoomScale="70" zoomScaleNormal="70" workbookViewId="0">
      <selection activeCell="E25" sqref="E25"/>
    </sheetView>
  </sheetViews>
  <sheetFormatPr baseColWidth="10" defaultColWidth="11.453125" defaultRowHeight="14.5" x14ac:dyDescent="0.35"/>
  <cols>
    <col min="1" max="1" width="27.453125" customWidth="1"/>
    <col min="2" max="2" width="26.453125" customWidth="1"/>
    <col min="3" max="3" width="42.453125" customWidth="1"/>
    <col min="4" max="4" width="25.453125" customWidth="1"/>
    <col min="5" max="5" width="37.54296875" customWidth="1"/>
    <col min="6" max="6" width="46.81640625" customWidth="1"/>
    <col min="7" max="7" width="56" customWidth="1"/>
    <col min="8" max="8" width="19.81640625" customWidth="1"/>
    <col min="10" max="10" width="31.1796875" style="2" customWidth="1"/>
    <col min="11" max="12" width="35.81640625" style="2" customWidth="1"/>
    <col min="13" max="13" width="38" style="5" customWidth="1"/>
  </cols>
  <sheetData>
    <row r="4" spans="4:13" x14ac:dyDescent="0.35">
      <c r="F4" s="1" t="s">
        <v>409</v>
      </c>
      <c r="G4" s="1" t="s">
        <v>409</v>
      </c>
      <c r="H4" s="1" t="s">
        <v>409</v>
      </c>
    </row>
    <row r="5" spans="4:13" x14ac:dyDescent="0.35">
      <c r="F5" s="1" t="s">
        <v>409</v>
      </c>
      <c r="G5" s="1" t="s">
        <v>409</v>
      </c>
      <c r="H5" s="1" t="s">
        <v>409</v>
      </c>
      <c r="J5" s="1" t="s">
        <v>224</v>
      </c>
    </row>
    <row r="6" spans="4:13" x14ac:dyDescent="0.35">
      <c r="F6" s="1" t="s">
        <v>409</v>
      </c>
      <c r="G6" s="1" t="s">
        <v>409</v>
      </c>
      <c r="H6" s="1" t="s">
        <v>409</v>
      </c>
      <c r="J6" s="1" t="s">
        <v>410</v>
      </c>
      <c r="K6" s="2" t="s">
        <v>23</v>
      </c>
      <c r="L6" s="13" t="s">
        <v>24</v>
      </c>
    </row>
    <row r="7" spans="4:13" x14ac:dyDescent="0.35">
      <c r="J7" s="1" t="s">
        <v>409</v>
      </c>
      <c r="K7" s="2" t="s">
        <v>30</v>
      </c>
      <c r="L7" s="13" t="s">
        <v>31</v>
      </c>
    </row>
    <row r="8" spans="4:13" x14ac:dyDescent="0.35">
      <c r="J8" s="1" t="s">
        <v>411</v>
      </c>
      <c r="K8" s="2" t="s">
        <v>40</v>
      </c>
      <c r="L8" s="13" t="s">
        <v>41</v>
      </c>
    </row>
    <row r="10" spans="4:13" x14ac:dyDescent="0.35">
      <c r="G10" s="1" t="s">
        <v>411</v>
      </c>
    </row>
    <row r="12" spans="4:13" x14ac:dyDescent="0.35">
      <c r="M12" s="2"/>
    </row>
    <row r="13" spans="4:13" x14ac:dyDescent="0.35">
      <c r="D13" t="str">
        <f>VLOOKUP(G5,J6:L24,2,0)</f>
        <v>TERMOPANEL DE 17 MM A 20 MM</v>
      </c>
      <c r="M13" s="2"/>
    </row>
    <row r="14" spans="4:13" x14ac:dyDescent="0.35">
      <c r="M14" s="2"/>
    </row>
    <row r="15" spans="4:13" x14ac:dyDescent="0.35">
      <c r="M15" s="2"/>
    </row>
    <row r="16" spans="4:13" x14ac:dyDescent="0.35">
      <c r="G16" s="16" t="s">
        <v>78</v>
      </c>
      <c r="H16" s="16" t="s">
        <v>79</v>
      </c>
      <c r="J16" s="14"/>
      <c r="M16" s="2"/>
    </row>
    <row r="17" spans="2:13" x14ac:dyDescent="0.35">
      <c r="G17" s="16" t="s">
        <v>84</v>
      </c>
      <c r="H17" s="16" t="s">
        <v>85</v>
      </c>
      <c r="M17" s="2"/>
    </row>
    <row r="18" spans="2:13" x14ac:dyDescent="0.35">
      <c r="G18" s="16" t="s">
        <v>88</v>
      </c>
      <c r="H18" s="16" t="s">
        <v>89</v>
      </c>
      <c r="M18" s="2"/>
    </row>
    <row r="19" spans="2:13" x14ac:dyDescent="0.35">
      <c r="G19" s="16" t="s">
        <v>94</v>
      </c>
      <c r="H19" s="16" t="s">
        <v>95</v>
      </c>
      <c r="M19" s="2"/>
    </row>
    <row r="20" spans="2:13" x14ac:dyDescent="0.35">
      <c r="G20" s="17" t="s">
        <v>99</v>
      </c>
      <c r="H20" s="16" t="s">
        <v>100</v>
      </c>
      <c r="M20" s="2"/>
    </row>
    <row r="21" spans="2:13" x14ac:dyDescent="0.35">
      <c r="M21" s="2"/>
    </row>
    <row r="22" spans="2:13" x14ac:dyDescent="0.35">
      <c r="M22" s="2"/>
    </row>
    <row r="23" spans="2:13" x14ac:dyDescent="0.35">
      <c r="M23" s="2"/>
    </row>
    <row r="24" spans="2:13" ht="139.4" customHeight="1" x14ac:dyDescent="0.35">
      <c r="B24">
        <v>2</v>
      </c>
      <c r="M24" s="2"/>
    </row>
    <row r="25" spans="2:13" ht="139.75" customHeight="1" x14ac:dyDescent="0.35">
      <c r="B25">
        <v>3</v>
      </c>
      <c r="M25" s="2"/>
    </row>
    <row r="26" spans="2:13" x14ac:dyDescent="0.35">
      <c r="M26" s="2"/>
    </row>
  </sheetData>
  <conditionalFormatting sqref="G16:G19">
    <cfRule type="duplicateValues" dxfId="5" priority="2"/>
    <cfRule type="duplicateValues" dxfId="4" priority="4"/>
    <cfRule type="duplicateValues" dxfId="3" priority="5"/>
  </conditionalFormatting>
  <conditionalFormatting sqref="H16:H20">
    <cfRule type="duplicateValues" dxfId="2" priority="1"/>
    <cfRule type="duplicateValues" dxfId="1" priority="3"/>
    <cfRule type="duplicateValues" dxfId="0" priority="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D60"/>
  <sheetViews>
    <sheetView tabSelected="1" topLeftCell="A4" zoomScaleNormal="100" workbookViewId="0">
      <selection activeCell="B8" sqref="B8"/>
    </sheetView>
  </sheetViews>
  <sheetFormatPr baseColWidth="10" defaultColWidth="11.453125" defaultRowHeight="10" x14ac:dyDescent="0.2"/>
  <cols>
    <col min="1" max="1" width="4.1796875" style="2" customWidth="1"/>
    <col min="2" max="2" width="17.453125" style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2.453125" style="1" customWidth="1"/>
    <col min="8" max="8" width="10.81640625" style="1" bestFit="1" customWidth="1"/>
    <col min="9" max="9" width="10.54296875" style="1" customWidth="1"/>
    <col min="10" max="10" width="14.453125" style="1" bestFit="1" customWidth="1"/>
    <col min="11" max="11" width="23.54296875" style="2" customWidth="1"/>
    <col min="12" max="12" width="5.54296875" style="2" hidden="1" customWidth="1"/>
    <col min="13" max="13" width="6.54296875" style="2" hidden="1" customWidth="1"/>
    <col min="14" max="14" width="6.81640625" style="2" hidden="1" customWidth="1"/>
    <col min="15" max="16" width="8.1796875" style="2" hidden="1" customWidth="1"/>
    <col min="17" max="17" width="6.1796875" style="2" hidden="1" customWidth="1"/>
    <col min="18" max="18" width="8.1796875" style="2" hidden="1" customWidth="1"/>
    <col min="19" max="19" width="8" style="2" hidden="1" customWidth="1"/>
    <col min="20" max="20" width="9.453125" style="2" hidden="1" customWidth="1"/>
    <col min="21" max="21" width="7" style="2" hidden="1" customWidth="1"/>
    <col min="22" max="22" width="9.1796875" style="2" hidden="1" customWidth="1"/>
    <col min="23" max="23" width="10.453125" style="2" hidden="1" customWidth="1"/>
    <col min="24" max="24" width="39.1796875" style="2" hidden="1" customWidth="1"/>
    <col min="25" max="25" width="11.1796875" style="2" hidden="1" customWidth="1"/>
    <col min="26" max="26" width="7.453125" style="5" hidden="1" customWidth="1"/>
    <col min="27" max="27" width="7.1796875" style="2" hidden="1" customWidth="1"/>
    <col min="28" max="28" width="8.1796875" style="2" hidden="1" customWidth="1"/>
    <col min="29" max="29" width="9" style="2" hidden="1" customWidth="1"/>
    <col min="30" max="30" width="22.1796875" style="2" hidden="1" customWidth="1"/>
    <col min="31" max="31" width="37.1796875" style="2" customWidth="1"/>
    <col min="32" max="34" width="11.453125" style="2" customWidth="1"/>
    <col min="35" max="16384" width="11.453125" style="2"/>
  </cols>
  <sheetData>
    <row r="1" spans="2:30" ht="21" customHeight="1" thickBot="1" x14ac:dyDescent="0.25">
      <c r="O1" s="50" t="str">
        <f>H11</f>
        <v>19 mm   -    4 inc+10+5 inc</v>
      </c>
    </row>
    <row r="2" spans="2:30" ht="39" customHeight="1" thickBot="1" x14ac:dyDescent="0.25">
      <c r="B2" s="325" t="s">
        <v>2</v>
      </c>
      <c r="C2" s="326"/>
      <c r="D2" s="326"/>
      <c r="E2" s="326"/>
      <c r="F2" s="326"/>
      <c r="G2" s="326"/>
      <c r="H2" s="320"/>
      <c r="I2" s="289"/>
      <c r="J2" s="290"/>
      <c r="M2" s="2">
        <v>3.7</v>
      </c>
      <c r="N2" s="18" t="str">
        <f>P2&amp;" -    "&amp;O2&amp;" "&amp;"mm"</f>
        <v>Semilla -    3.7 mm</v>
      </c>
      <c r="O2" s="1" t="s">
        <v>3</v>
      </c>
      <c r="P2" s="1" t="s">
        <v>4</v>
      </c>
      <c r="Q2" s="2" t="s">
        <v>5</v>
      </c>
      <c r="S2" s="1" t="s">
        <v>6</v>
      </c>
      <c r="T2" s="1"/>
      <c r="U2" s="18" t="s">
        <v>7</v>
      </c>
    </row>
    <row r="3" spans="2:30" ht="22" x14ac:dyDescent="0.2">
      <c r="B3" s="95"/>
      <c r="C3" s="4"/>
      <c r="D3" s="2"/>
      <c r="H3" s="321"/>
      <c r="I3" s="291"/>
      <c r="J3" s="292"/>
      <c r="M3" s="2">
        <v>4</v>
      </c>
      <c r="N3" s="18" t="str">
        <f>O3&amp;" "&amp;"mm"&amp;"     -    "&amp;P3</f>
        <v>4 mm     -    Incoloro</v>
      </c>
      <c r="O3" s="1">
        <v>4</v>
      </c>
      <c r="P3" s="1" t="s">
        <v>8</v>
      </c>
      <c r="Q3" s="2" t="s">
        <v>9</v>
      </c>
      <c r="S3" s="1" t="s">
        <v>6</v>
      </c>
      <c r="T3" s="1"/>
      <c r="U3" s="18" t="s">
        <v>10</v>
      </c>
    </row>
    <row r="4" spans="2:30" ht="16.75" customHeight="1" thickBot="1" x14ac:dyDescent="0.25">
      <c r="B4" s="95"/>
      <c r="C4" s="298"/>
      <c r="H4" s="322"/>
      <c r="I4" s="323"/>
      <c r="J4" s="324"/>
      <c r="M4" s="2">
        <v>4</v>
      </c>
      <c r="N4" s="18" t="str">
        <f>O4&amp;" "&amp;"mm"&amp;"     -    "&amp;P4</f>
        <v>4 mm     -    Saten</v>
      </c>
      <c r="O4" s="1">
        <v>4</v>
      </c>
      <c r="P4" s="1" t="s">
        <v>11</v>
      </c>
      <c r="Q4" s="2" t="s">
        <v>12</v>
      </c>
      <c r="S4" s="1" t="s">
        <v>6</v>
      </c>
      <c r="T4" s="1"/>
      <c r="U4" s="18" t="s">
        <v>10</v>
      </c>
    </row>
    <row r="5" spans="2:30" ht="21" customHeight="1" thickBot="1" x14ac:dyDescent="0.25">
      <c r="B5" s="95"/>
      <c r="C5" s="298"/>
      <c r="G5" s="300" t="s">
        <v>13</v>
      </c>
      <c r="H5" s="335"/>
      <c r="I5" s="335"/>
      <c r="J5" s="336"/>
      <c r="K5" s="33"/>
      <c r="L5" s="34"/>
      <c r="M5" s="2">
        <v>5</v>
      </c>
      <c r="N5" s="18" t="str">
        <f>O5&amp;" "&amp;"mm"&amp;"     -    "&amp;P5</f>
        <v>5 mm     -    Incoloro</v>
      </c>
      <c r="O5" s="1">
        <v>5</v>
      </c>
      <c r="P5" s="1" t="s">
        <v>8</v>
      </c>
      <c r="Q5" s="2" t="s">
        <v>14</v>
      </c>
      <c r="S5" s="1" t="s">
        <v>6</v>
      </c>
      <c r="T5" s="1"/>
      <c r="U5" s="18" t="s">
        <v>10</v>
      </c>
      <c r="Z5" s="12" t="s">
        <v>15</v>
      </c>
      <c r="AA5" s="2" t="s">
        <v>16</v>
      </c>
      <c r="AB5" s="2" t="s">
        <v>17</v>
      </c>
      <c r="AC5" s="2" t="s">
        <v>18</v>
      </c>
      <c r="AD5" s="2" t="s">
        <v>19</v>
      </c>
    </row>
    <row r="6" spans="2:30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34"/>
      <c r="L6" s="34"/>
      <c r="M6" s="2">
        <v>6</v>
      </c>
      <c r="N6" s="18" t="str">
        <f>O6&amp;" "&amp;"mm"&amp;"     -    "&amp;P6</f>
        <v>6 mm     -    Incoloro</v>
      </c>
      <c r="O6" s="1">
        <v>6</v>
      </c>
      <c r="P6" s="1" t="s">
        <v>8</v>
      </c>
      <c r="Q6" s="2" t="s">
        <v>22</v>
      </c>
      <c r="S6" s="1" t="s">
        <v>6</v>
      </c>
      <c r="T6" s="1"/>
      <c r="U6" s="18" t="s">
        <v>10</v>
      </c>
      <c r="X6" s="2" t="s">
        <v>23</v>
      </c>
      <c r="Y6" s="13" t="s">
        <v>24</v>
      </c>
      <c r="Z6" s="12" t="s">
        <v>25</v>
      </c>
      <c r="AA6" s="2" t="s">
        <v>26</v>
      </c>
      <c r="AB6" s="2">
        <v>80</v>
      </c>
      <c r="AC6" s="2">
        <v>62</v>
      </c>
      <c r="AD6" s="2">
        <v>2</v>
      </c>
    </row>
    <row r="7" spans="2:30" ht="29.5" customHeight="1" x14ac:dyDescent="0.2">
      <c r="B7" s="98">
        <v>1797</v>
      </c>
      <c r="C7" s="298"/>
      <c r="D7" s="96"/>
      <c r="E7" s="96"/>
      <c r="G7" s="51" t="s">
        <v>27</v>
      </c>
      <c r="H7" s="337" t="str">
        <f>C11&amp;"  "&amp;"mm"&amp;" "&amp;"x"&amp;" "&amp;B7&amp;" "&amp;"mm"</f>
        <v>1396  mm x 1797 mm</v>
      </c>
      <c r="I7" s="338"/>
      <c r="J7" s="99"/>
      <c r="M7" s="2">
        <v>6</v>
      </c>
      <c r="N7" s="18" t="str">
        <f>O7&amp;" "&amp;"mm"&amp;"     -    "&amp;P7</f>
        <v>6 mm     -    Laminado</v>
      </c>
      <c r="O7" s="1">
        <v>6</v>
      </c>
      <c r="P7" s="1" t="s">
        <v>28</v>
      </c>
      <c r="Q7" s="2" t="s">
        <v>29</v>
      </c>
      <c r="S7" s="1" t="s">
        <v>6</v>
      </c>
      <c r="T7" s="1"/>
      <c r="U7" s="18" t="s">
        <v>10</v>
      </c>
      <c r="X7" s="2" t="s">
        <v>30</v>
      </c>
      <c r="Y7" s="13" t="s">
        <v>31</v>
      </c>
      <c r="Z7" s="12" t="s">
        <v>32</v>
      </c>
      <c r="AA7" s="2" t="s">
        <v>33</v>
      </c>
      <c r="AB7" s="2">
        <v>98</v>
      </c>
      <c r="AC7" s="2">
        <v>80</v>
      </c>
      <c r="AD7" s="2">
        <v>3</v>
      </c>
    </row>
    <row r="8" spans="2:30" ht="29.5" customHeight="1" x14ac:dyDescent="0.2">
      <c r="B8" s="95"/>
      <c r="C8" s="298"/>
      <c r="D8" s="96"/>
      <c r="E8" s="96"/>
      <c r="F8" s="2"/>
      <c r="G8" s="51" t="s">
        <v>34</v>
      </c>
      <c r="H8" s="316" t="s">
        <v>35</v>
      </c>
      <c r="I8" s="317"/>
      <c r="J8" s="99"/>
      <c r="M8" s="2">
        <v>8</v>
      </c>
      <c r="N8" s="18" t="str">
        <f t="shared" ref="N8:N14" si="0">O8&amp;" "&amp;"mm"&amp;"   -    "&amp;P8</f>
        <v>18 mm   -    4 inc+10+4 inc</v>
      </c>
      <c r="O8" s="1">
        <v>18</v>
      </c>
      <c r="P8" s="1" t="s">
        <v>36</v>
      </c>
      <c r="Q8" s="2" t="s">
        <v>37</v>
      </c>
      <c r="S8" s="1" t="s">
        <v>38</v>
      </c>
      <c r="T8" s="1"/>
      <c r="U8" s="18" t="s">
        <v>39</v>
      </c>
      <c r="X8" s="2" t="s">
        <v>40</v>
      </c>
      <c r="Y8" s="13" t="s">
        <v>41</v>
      </c>
      <c r="Z8" s="12" t="s">
        <v>42</v>
      </c>
    </row>
    <row r="9" spans="2:30" ht="16.399999999999999" customHeight="1" x14ac:dyDescent="0.2">
      <c r="B9" s="95"/>
      <c r="C9" s="298"/>
      <c r="D9" s="96"/>
      <c r="E9" s="96"/>
      <c r="G9" s="51" t="s">
        <v>43</v>
      </c>
      <c r="H9" s="318" t="s">
        <v>44</v>
      </c>
      <c r="I9" s="319"/>
      <c r="J9" s="100"/>
      <c r="M9" s="2">
        <v>8</v>
      </c>
      <c r="N9" s="18" t="str">
        <f t="shared" si="0"/>
        <v>18 mm   -    4 inc+10+4 sat</v>
      </c>
      <c r="O9" s="1">
        <v>18</v>
      </c>
      <c r="P9" s="1" t="s">
        <v>45</v>
      </c>
      <c r="Q9" s="2" t="s">
        <v>46</v>
      </c>
      <c r="S9" s="1" t="s">
        <v>38</v>
      </c>
      <c r="T9" s="1"/>
      <c r="U9" s="18" t="s">
        <v>39</v>
      </c>
      <c r="Z9" s="12" t="s">
        <v>44</v>
      </c>
    </row>
    <row r="10" spans="2:30" ht="21" customHeight="1" x14ac:dyDescent="0.2">
      <c r="B10" s="95"/>
      <c r="C10" s="299"/>
      <c r="D10" s="96"/>
      <c r="E10" s="96"/>
      <c r="G10" s="51" t="s">
        <v>47</v>
      </c>
      <c r="H10" s="316">
        <v>2</v>
      </c>
      <c r="I10" s="317"/>
      <c r="J10" s="99"/>
      <c r="M10" s="2">
        <v>10</v>
      </c>
      <c r="N10" s="18" t="str">
        <f t="shared" si="0"/>
        <v>18 mm   -    5 inc+8+5 inc</v>
      </c>
      <c r="O10" s="1">
        <v>18</v>
      </c>
      <c r="P10" s="1" t="s">
        <v>48</v>
      </c>
      <c r="Q10" s="2" t="s">
        <v>49</v>
      </c>
      <c r="S10" s="1" t="s">
        <v>38</v>
      </c>
      <c r="T10" s="1"/>
      <c r="U10" s="18" t="s">
        <v>39</v>
      </c>
      <c r="Z10" s="1" t="s">
        <v>50</v>
      </c>
    </row>
    <row r="11" spans="2:30" ht="21" customHeight="1" x14ac:dyDescent="0.2">
      <c r="B11" s="101"/>
      <c r="C11" s="37">
        <v>1396</v>
      </c>
      <c r="D11" s="96"/>
      <c r="E11" s="96"/>
      <c r="G11" s="51" t="s">
        <v>51</v>
      </c>
      <c r="H11" s="333" t="s">
        <v>52</v>
      </c>
      <c r="I11" s="334"/>
      <c r="J11" s="102"/>
      <c r="K11" s="35"/>
      <c r="L11" s="35"/>
      <c r="M11" s="2">
        <v>9</v>
      </c>
      <c r="N11" s="18" t="str">
        <f t="shared" si="0"/>
        <v>19 mm   -    4 inc+10+5 inc</v>
      </c>
      <c r="O11" s="1">
        <v>19</v>
      </c>
      <c r="P11" s="1" t="s">
        <v>53</v>
      </c>
      <c r="Q11" s="2" t="s">
        <v>54</v>
      </c>
      <c r="S11" s="1" t="s">
        <v>38</v>
      </c>
      <c r="T11" s="1"/>
      <c r="U11" s="18" t="s">
        <v>39</v>
      </c>
    </row>
    <row r="12" spans="2:30" ht="21" customHeight="1" x14ac:dyDescent="0.2">
      <c r="B12" s="95"/>
      <c r="G12" s="51" t="s">
        <v>55</v>
      </c>
      <c r="H12" s="7">
        <f>C11*B7/1000000</f>
        <v>2.5086119999999998</v>
      </c>
      <c r="I12" s="8" t="s">
        <v>56</v>
      </c>
      <c r="J12" s="103"/>
      <c r="M12" s="27">
        <v>11</v>
      </c>
      <c r="N12" s="18" t="str">
        <f t="shared" si="0"/>
        <v>19 mm   -    5 inc+8+6 inc</v>
      </c>
      <c r="O12" s="1">
        <v>19</v>
      </c>
      <c r="P12" s="1" t="s">
        <v>57</v>
      </c>
      <c r="Q12" s="2" t="s">
        <v>58</v>
      </c>
      <c r="R12" s="1"/>
      <c r="S12" s="1" t="s">
        <v>38</v>
      </c>
      <c r="T12" s="1"/>
      <c r="U12" s="18" t="s">
        <v>39</v>
      </c>
      <c r="V12" s="3"/>
      <c r="W12" s="3"/>
      <c r="Z12" s="2"/>
    </row>
    <row r="13" spans="2:30" ht="21" customHeight="1" x14ac:dyDescent="0.2">
      <c r="B13" s="95"/>
      <c r="C13" s="104"/>
      <c r="E13" s="105"/>
      <c r="G13" s="52" t="s">
        <v>59</v>
      </c>
      <c r="H13" s="53">
        <v>1</v>
      </c>
      <c r="I13" s="8" t="s">
        <v>60</v>
      </c>
      <c r="J13" s="102"/>
      <c r="M13" s="2">
        <v>11</v>
      </c>
      <c r="N13" s="18" t="str">
        <f t="shared" si="0"/>
        <v>19 mm   -    5 inc+8+6 lam</v>
      </c>
      <c r="O13" s="1">
        <v>19</v>
      </c>
      <c r="P13" s="1" t="s">
        <v>61</v>
      </c>
      <c r="Q13" s="2" t="s">
        <v>62</v>
      </c>
      <c r="S13" s="1" t="s">
        <v>38</v>
      </c>
      <c r="T13" s="1"/>
      <c r="U13" s="18" t="s">
        <v>39</v>
      </c>
      <c r="Z13" s="2"/>
    </row>
    <row r="14" spans="2:30" s="3" customFormat="1" ht="21" customHeight="1" thickBot="1" x14ac:dyDescent="0.25">
      <c r="B14" s="106"/>
      <c r="C14" s="107"/>
      <c r="D14" s="107"/>
      <c r="E14" s="107"/>
      <c r="F14" s="107"/>
      <c r="G14" s="108" t="s">
        <v>63</v>
      </c>
      <c r="H14" s="109">
        <f>IF(H11=N2,((H12/2)*M2*2.54*1.3),IF(H11=N3,((H12/2)*M3*2.54*1.3),IF(H11=N4,((H12/2)*M4*2.54*1.3),IF(H11=N5,((H12/2)*M5*2.54*1.3),IF(H11=N6,((H12/2)*M6*2.54*1.3),IF(H11=N7,((H12/2)*M7*2.54*1.3),IF(H11=N8,((H12/2)*M8*2.54*1.3),IF(H11=N9,((H12/2)*M9*2.54*1.3),IF(H11=N10,((H12/2)*M10*2.54*1.3),IF(H11=N11,((H12/2)*M11*2.54*1.3),IF(H11=N12,((H12/2)*M12*2.54*1.3),IF(H11=N13,((H12/2)*M13*2.54*1.3),IF(H11=N14,((H12/2)*M14*2.54*1.3),IF(H11=N16,((H12/2)*M16*2.54*1.3)))))))))))))))</f>
        <v>37.275465707999999</v>
      </c>
      <c r="I14" s="107"/>
      <c r="J14" s="110"/>
      <c r="M14" s="2">
        <v>10</v>
      </c>
      <c r="N14" s="18" t="str">
        <f t="shared" si="0"/>
        <v>20 mm   -    4 inc+10+6 lam</v>
      </c>
      <c r="O14" s="1">
        <v>20</v>
      </c>
      <c r="P14" s="1" t="s">
        <v>64</v>
      </c>
      <c r="Q14" s="2" t="s">
        <v>65</v>
      </c>
      <c r="R14" s="2"/>
      <c r="S14" s="1" t="s">
        <v>38</v>
      </c>
      <c r="T14" s="1"/>
      <c r="U14" s="18" t="s">
        <v>39</v>
      </c>
      <c r="V14" s="2"/>
      <c r="W14" s="2"/>
      <c r="X14" s="2"/>
      <c r="Y14" s="2"/>
      <c r="Z14" s="2"/>
      <c r="AA14" s="2"/>
      <c r="AB14" s="2"/>
      <c r="AC14" s="2"/>
    </row>
    <row r="15" spans="2:30" s="3" customFormat="1" ht="21" customHeight="1" thickBot="1" x14ac:dyDescent="0.25">
      <c r="G15" s="89"/>
      <c r="H15" s="90"/>
      <c r="M15" s="2"/>
      <c r="N15" s="18"/>
      <c r="O15" s="1"/>
      <c r="P15" s="1"/>
      <c r="Q15" s="2"/>
      <c r="R15" s="2"/>
      <c r="S15" s="1"/>
      <c r="T15" s="1"/>
      <c r="U15" s="18"/>
      <c r="V15" s="2"/>
      <c r="W15" s="2"/>
      <c r="X15" s="2"/>
      <c r="Y15" s="2"/>
      <c r="Z15" s="2"/>
      <c r="AA15" s="2"/>
      <c r="AB15" s="2"/>
      <c r="AC15" s="2"/>
    </row>
    <row r="16" spans="2:30" ht="15" customHeight="1" thickBot="1" x14ac:dyDescent="0.25">
      <c r="B16" s="262" t="s">
        <v>66</v>
      </c>
      <c r="C16" s="263"/>
      <c r="D16" s="111"/>
      <c r="E16" s="115"/>
      <c r="F16" s="116" t="s">
        <v>67</v>
      </c>
      <c r="G16" s="116" t="s">
        <v>68</v>
      </c>
      <c r="H16" s="328" t="s">
        <v>69</v>
      </c>
      <c r="I16" s="329"/>
      <c r="J16" s="116" t="s">
        <v>70</v>
      </c>
      <c r="K16" s="232"/>
      <c r="L16" s="232"/>
      <c r="M16" s="2">
        <v>12</v>
      </c>
      <c r="N16" s="2" t="s">
        <v>71</v>
      </c>
      <c r="O16" s="12">
        <v>22</v>
      </c>
      <c r="P16" s="1" t="s">
        <v>72</v>
      </c>
      <c r="Q16" s="2" t="s">
        <v>73</v>
      </c>
      <c r="U16" s="18" t="s">
        <v>74</v>
      </c>
      <c r="Z16" s="2"/>
    </row>
    <row r="17" spans="2:28" ht="15" customHeight="1" x14ac:dyDescent="0.2">
      <c r="B17" s="308" t="str">
        <f>IF(H10=AD6,"MARCO DOBLE RIEL CORREDERA S75",IF(H10=AD7,"MARCO TRIPLE RIEL"))</f>
        <v>MARCO DOBLE RIEL CORREDERA S75</v>
      </c>
      <c r="C17" s="309"/>
      <c r="D17" s="114"/>
      <c r="E17" s="58"/>
      <c r="F17" s="233">
        <f>H13*2</f>
        <v>2</v>
      </c>
      <c r="G17" s="234">
        <f>C11+5</f>
        <v>1401</v>
      </c>
      <c r="H17" s="233" t="s">
        <v>75</v>
      </c>
      <c r="I17" s="233" t="s">
        <v>75</v>
      </c>
      <c r="J17" s="235" t="s">
        <v>76</v>
      </c>
      <c r="K17" s="232"/>
      <c r="L17" s="232"/>
      <c r="Q17" s="18" t="s">
        <v>10</v>
      </c>
      <c r="S17" s="1" t="s">
        <v>6</v>
      </c>
      <c r="Y17" s="12" t="s">
        <v>15</v>
      </c>
      <c r="Z17" s="2"/>
    </row>
    <row r="18" spans="2:28" ht="15" customHeight="1" x14ac:dyDescent="0.2">
      <c r="B18" s="260" t="str">
        <f>B17</f>
        <v>MARCO DOBLE RIEL CORREDERA S75</v>
      </c>
      <c r="C18" s="261"/>
      <c r="D18" s="114"/>
      <c r="E18" s="58"/>
      <c r="F18" s="58">
        <f>F17</f>
        <v>2</v>
      </c>
      <c r="G18" s="59">
        <f>B7+5</f>
        <v>1802</v>
      </c>
      <c r="H18" s="58" t="s">
        <v>75</v>
      </c>
      <c r="I18" s="58" t="s">
        <v>75</v>
      </c>
      <c r="J18" s="112" t="s">
        <v>77</v>
      </c>
      <c r="K18" s="232"/>
      <c r="L18" s="232"/>
      <c r="M18" s="2" t="s">
        <v>78</v>
      </c>
      <c r="X18" s="2" t="s">
        <v>79</v>
      </c>
      <c r="Y18" s="12" t="s">
        <v>32</v>
      </c>
      <c r="Z18" s="2"/>
      <c r="AA18" s="36" t="s">
        <v>80</v>
      </c>
      <c r="AB18" s="36" t="s">
        <v>81</v>
      </c>
    </row>
    <row r="19" spans="2:28" ht="15" customHeight="1" x14ac:dyDescent="0.2">
      <c r="B19" s="260" t="s">
        <v>82</v>
      </c>
      <c r="C19" s="261"/>
      <c r="D19" s="114"/>
      <c r="E19" s="58"/>
      <c r="F19" s="58">
        <f>IF(H10=AD7,H10+1,IF(H10=AD6,H10*1))*H13</f>
        <v>2</v>
      </c>
      <c r="G19" s="59">
        <f>G17-85</f>
        <v>1316</v>
      </c>
      <c r="H19" s="58" t="s">
        <v>83</v>
      </c>
      <c r="I19" s="58" t="s">
        <v>83</v>
      </c>
      <c r="J19" s="112" t="s">
        <v>76</v>
      </c>
      <c r="K19" s="232"/>
      <c r="L19" s="232"/>
      <c r="M19" s="2" t="s">
        <v>84</v>
      </c>
      <c r="X19" s="2" t="s">
        <v>85</v>
      </c>
      <c r="Y19" s="12" t="s">
        <v>42</v>
      </c>
      <c r="AA19" s="36" t="s">
        <v>86</v>
      </c>
      <c r="AB19" s="36" t="s">
        <v>87</v>
      </c>
    </row>
    <row r="20" spans="2:28" ht="15" customHeight="1" x14ac:dyDescent="0.2">
      <c r="B20" s="260" t="s">
        <v>82</v>
      </c>
      <c r="C20" s="261"/>
      <c r="D20" s="114"/>
      <c r="E20" s="58"/>
      <c r="F20" s="58">
        <f>F19</f>
        <v>2</v>
      </c>
      <c r="G20" s="59">
        <f>G18-85</f>
        <v>1717</v>
      </c>
      <c r="H20" s="58" t="s">
        <v>83</v>
      </c>
      <c r="I20" s="58" t="s">
        <v>83</v>
      </c>
      <c r="J20" s="112" t="s">
        <v>77</v>
      </c>
      <c r="K20" s="232"/>
      <c r="L20" s="232"/>
      <c r="M20" s="2" t="s">
        <v>88</v>
      </c>
      <c r="X20" s="2" t="s">
        <v>89</v>
      </c>
      <c r="Y20" s="12" t="s">
        <v>44</v>
      </c>
      <c r="Z20" s="2"/>
      <c r="AA20" s="36" t="s">
        <v>90</v>
      </c>
      <c r="AB20" s="36" t="s">
        <v>91</v>
      </c>
    </row>
    <row r="21" spans="2:28" ht="15" customHeight="1" x14ac:dyDescent="0.2">
      <c r="B21" s="260" t="s">
        <v>92</v>
      </c>
      <c r="C21" s="261"/>
      <c r="D21" s="114"/>
      <c r="E21" s="58"/>
      <c r="F21" s="58">
        <f>IF(H10=AD6,(H13*4),IF(H10=AD7,(H13*6)))</f>
        <v>4</v>
      </c>
      <c r="G21" s="59">
        <f>(C11-80)/2+45</f>
        <v>703</v>
      </c>
      <c r="H21" s="58" t="s">
        <v>75</v>
      </c>
      <c r="I21" s="58" t="s">
        <v>75</v>
      </c>
      <c r="J21" s="112" t="s">
        <v>93</v>
      </c>
      <c r="K21" s="232"/>
      <c r="L21" s="232"/>
      <c r="M21" s="2" t="s">
        <v>94</v>
      </c>
      <c r="X21" s="2" t="s">
        <v>95</v>
      </c>
      <c r="Y21" s="12" t="s">
        <v>25</v>
      </c>
      <c r="AA21" s="36" t="s">
        <v>96</v>
      </c>
      <c r="AB21" s="36" t="s">
        <v>97</v>
      </c>
    </row>
    <row r="22" spans="2:28" ht="15" customHeight="1" x14ac:dyDescent="0.25">
      <c r="B22" s="260" t="str">
        <f>B21</f>
        <v xml:space="preserve">HOJA CORREDERA 80 </v>
      </c>
      <c r="C22" s="261"/>
      <c r="D22" s="114"/>
      <c r="E22" s="58"/>
      <c r="F22" s="58">
        <f>F21</f>
        <v>4</v>
      </c>
      <c r="G22" s="59">
        <f>B7-48-48+16+5</f>
        <v>1722</v>
      </c>
      <c r="H22" s="58" t="s">
        <v>75</v>
      </c>
      <c r="I22" s="58" t="s">
        <v>75</v>
      </c>
      <c r="J22" s="112" t="s">
        <v>98</v>
      </c>
      <c r="K22" s="232"/>
      <c r="L22" s="232"/>
      <c r="M22" s="2" t="s">
        <v>99</v>
      </c>
      <c r="X22" s="2" t="s">
        <v>100</v>
      </c>
      <c r="Y22" s="1" t="s">
        <v>50</v>
      </c>
      <c r="Z22" s="2"/>
      <c r="AA22" s="17" t="s">
        <v>101</v>
      </c>
      <c r="AB22" s="36" t="s">
        <v>102</v>
      </c>
    </row>
    <row r="23" spans="2:28" ht="15" customHeight="1" x14ac:dyDescent="0.2">
      <c r="B23" s="260" t="s">
        <v>103</v>
      </c>
      <c r="C23" s="261"/>
      <c r="D23" s="114"/>
      <c r="E23" s="58"/>
      <c r="F23" s="58">
        <f>F22</f>
        <v>4</v>
      </c>
      <c r="G23" s="59">
        <f>G21-62-62-25</f>
        <v>554</v>
      </c>
      <c r="H23" s="58" t="s">
        <v>83</v>
      </c>
      <c r="I23" s="58" t="s">
        <v>83</v>
      </c>
      <c r="J23" s="112" t="s">
        <v>93</v>
      </c>
      <c r="K23" s="232"/>
      <c r="L23" s="232"/>
      <c r="Z23" s="2"/>
    </row>
    <row r="24" spans="2:28" ht="15" customHeight="1" x14ac:dyDescent="0.2">
      <c r="B24" s="260" t="str">
        <f>B23</f>
        <v>REF. NEW MULTIPLE 1,2</v>
      </c>
      <c r="C24" s="261"/>
      <c r="D24" s="114"/>
      <c r="E24" s="58"/>
      <c r="F24" s="58">
        <f>F23</f>
        <v>4</v>
      </c>
      <c r="G24" s="59">
        <f>G22-62-62-25</f>
        <v>1573</v>
      </c>
      <c r="H24" s="58" t="s">
        <v>83</v>
      </c>
      <c r="I24" s="58" t="s">
        <v>83</v>
      </c>
      <c r="J24" s="112" t="s">
        <v>98</v>
      </c>
      <c r="K24" s="232"/>
      <c r="L24" s="232"/>
      <c r="Z24" s="13" t="s">
        <v>24</v>
      </c>
    </row>
    <row r="25" spans="2:28" ht="15" customHeight="1" x14ac:dyDescent="0.2">
      <c r="B25" s="277" t="s">
        <v>104</v>
      </c>
      <c r="C25" s="279"/>
      <c r="D25" s="114"/>
      <c r="E25" s="58"/>
      <c r="F25" s="58">
        <f>IF(G18&gt;=2300,2,0)</f>
        <v>0</v>
      </c>
      <c r="G25" s="59">
        <f>IF(F25&gt;=1,G22-62-62-25,0)</f>
        <v>0</v>
      </c>
      <c r="H25" s="58" t="s">
        <v>83</v>
      </c>
      <c r="I25" s="58" t="s">
        <v>83</v>
      </c>
      <c r="J25" s="112" t="s">
        <v>105</v>
      </c>
      <c r="K25" s="232"/>
      <c r="L25" s="232"/>
      <c r="Z25" s="13"/>
    </row>
    <row r="26" spans="2:28" ht="15" customHeight="1" x14ac:dyDescent="0.2">
      <c r="B26" s="260" t="s">
        <v>106</v>
      </c>
      <c r="C26" s="261"/>
      <c r="D26" s="114"/>
      <c r="E26" s="58"/>
      <c r="F26" s="58">
        <f>F21/2</f>
        <v>2</v>
      </c>
      <c r="G26" s="59">
        <f>G22-7</f>
        <v>1715</v>
      </c>
      <c r="H26" s="58" t="s">
        <v>83</v>
      </c>
      <c r="I26" s="58" t="s">
        <v>83</v>
      </c>
      <c r="J26" s="112" t="s">
        <v>107</v>
      </c>
      <c r="K26" s="232"/>
      <c r="L26" s="232"/>
      <c r="M26" s="36" t="s">
        <v>108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 t="s">
        <v>109</v>
      </c>
      <c r="Z26" s="13" t="s">
        <v>31</v>
      </c>
    </row>
    <row r="27" spans="2:28" ht="15" customHeight="1" x14ac:dyDescent="0.2">
      <c r="B27" s="260" t="s">
        <v>110</v>
      </c>
      <c r="C27" s="261"/>
      <c r="D27" s="114"/>
      <c r="E27" s="58"/>
      <c r="F27" s="58">
        <f>H10*H13</f>
        <v>2</v>
      </c>
      <c r="G27" s="59">
        <f>C11-48-48-1</f>
        <v>1299</v>
      </c>
      <c r="H27" s="58" t="s">
        <v>75</v>
      </c>
      <c r="I27" s="58" t="s">
        <v>75</v>
      </c>
      <c r="J27" s="112" t="s">
        <v>111</v>
      </c>
      <c r="K27" s="232"/>
      <c r="L27" s="232"/>
      <c r="M27" s="36" t="s">
        <v>112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 t="s">
        <v>113</v>
      </c>
      <c r="Z27" s="13" t="s">
        <v>41</v>
      </c>
    </row>
    <row r="28" spans="2:28" ht="15" customHeight="1" x14ac:dyDescent="0.2">
      <c r="B28" s="260" t="str">
        <f>VLOOKUP(C33,Q2:U16,5,0)</f>
        <v>JUNQUILLO PARA TERMOPANEL 18-20 MM</v>
      </c>
      <c r="C28" s="261"/>
      <c r="D28" s="114"/>
      <c r="E28" s="58"/>
      <c r="F28" s="236">
        <f>F21</f>
        <v>4</v>
      </c>
      <c r="G28" s="59">
        <f>G21-62-62-5</f>
        <v>574</v>
      </c>
      <c r="H28" s="237" t="s">
        <v>75</v>
      </c>
      <c r="I28" s="237" t="s">
        <v>75</v>
      </c>
      <c r="J28" s="112" t="s">
        <v>93</v>
      </c>
      <c r="M28" s="36" t="s">
        <v>114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 t="s">
        <v>115</v>
      </c>
    </row>
    <row r="29" spans="2:28" ht="15" customHeight="1" thickBot="1" x14ac:dyDescent="0.25">
      <c r="B29" s="311" t="str">
        <f>B28</f>
        <v>JUNQUILLO PARA TERMOPANEL 18-20 MM</v>
      </c>
      <c r="C29" s="312"/>
      <c r="D29" s="238"/>
      <c r="E29" s="113"/>
      <c r="F29" s="239">
        <f>F28</f>
        <v>4</v>
      </c>
      <c r="G29" s="113">
        <f>G22-62-62-5</f>
        <v>1593</v>
      </c>
      <c r="H29" s="240" t="s">
        <v>75</v>
      </c>
      <c r="I29" s="240" t="s">
        <v>75</v>
      </c>
      <c r="J29" s="197" t="s">
        <v>98</v>
      </c>
      <c r="M29" s="36" t="s">
        <v>116</v>
      </c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 t="s">
        <v>117</v>
      </c>
    </row>
    <row r="30" spans="2:28" ht="15" customHeight="1" thickBot="1" x14ac:dyDescent="0.3">
      <c r="M30" s="17" t="s">
        <v>118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36" t="s">
        <v>119</v>
      </c>
    </row>
    <row r="31" spans="2:28" ht="18" customHeight="1" thickBot="1" x14ac:dyDescent="0.25">
      <c r="B31" s="117" t="str">
        <f>G11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8" ht="10.5" x14ac:dyDescent="0.2">
      <c r="B32" s="120" t="s">
        <v>120</v>
      </c>
      <c r="C32" s="330" t="s">
        <v>121</v>
      </c>
      <c r="D32" s="331"/>
      <c r="E32" s="331"/>
      <c r="F32" s="332"/>
      <c r="G32" s="42" t="s">
        <v>122</v>
      </c>
      <c r="H32" s="42" t="s">
        <v>123</v>
      </c>
      <c r="I32" s="42" t="s">
        <v>124</v>
      </c>
      <c r="J32" s="121" t="s">
        <v>125</v>
      </c>
      <c r="M32" s="36" t="s">
        <v>126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 t="s">
        <v>127</v>
      </c>
      <c r="Z32" s="1"/>
      <c r="AB32" s="13"/>
    </row>
    <row r="33" spans="1:28" ht="20.5" thickBot="1" x14ac:dyDescent="0.25">
      <c r="B33" s="122" t="str">
        <f>H11</f>
        <v>19 mm   -    4 inc+10+5 inc</v>
      </c>
      <c r="C33" s="281" t="str">
        <f>VLOOKUP(O1,N2:Q16,4,0)</f>
        <v>Termopanel 4 mm Incoloro + 10 mm + 5 mm Incoloro</v>
      </c>
      <c r="D33" s="282"/>
      <c r="E33" s="282"/>
      <c r="F33" s="283"/>
      <c r="G33" s="123">
        <f>G28-8</f>
        <v>566</v>
      </c>
      <c r="H33" s="123">
        <f>G29-8</f>
        <v>1585</v>
      </c>
      <c r="I33" s="124">
        <f>H10*H13</f>
        <v>2</v>
      </c>
      <c r="J33" s="125" t="s">
        <v>128</v>
      </c>
      <c r="K33" s="9"/>
      <c r="L33" s="9"/>
      <c r="M33" s="36" t="s">
        <v>129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 t="s">
        <v>130</v>
      </c>
      <c r="Z33" s="1"/>
      <c r="AB33" s="13"/>
    </row>
    <row r="34" spans="1:28" ht="18" customHeight="1" thickBot="1" x14ac:dyDescent="0.25">
      <c r="M34" s="36" t="s">
        <v>131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 t="s">
        <v>132</v>
      </c>
      <c r="Z34" s="1"/>
      <c r="AB34" s="13"/>
    </row>
    <row r="35" spans="1:28" ht="18" customHeight="1" thickBot="1" x14ac:dyDescent="0.3">
      <c r="B35" s="314" t="s">
        <v>66</v>
      </c>
      <c r="C35" s="315"/>
      <c r="D35" s="315"/>
      <c r="E35" s="217"/>
      <c r="F35" s="218" t="s">
        <v>67</v>
      </c>
      <c r="G35" s="207" t="s">
        <v>133</v>
      </c>
      <c r="H35" s="262" t="s">
        <v>134</v>
      </c>
      <c r="I35" s="263"/>
      <c r="J35" s="116" t="s">
        <v>124</v>
      </c>
      <c r="M35" s="17" t="s">
        <v>135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6" t="s">
        <v>136</v>
      </c>
    </row>
    <row r="36" spans="1:28" ht="18" customHeight="1" x14ac:dyDescent="0.2">
      <c r="B36" s="266" t="str">
        <f>IF(AND(B7&gt;=210,B7&lt;=539),'Hoja1 (2)'!A10,IF(AND(B7&gt;=540,B7&lt;=739),'Hoja1 (2)'!A11,IF(AND(B7&gt;=740,B7&lt;=939),'Hoja1 (2)'!A12,IF(AND(B7&gt;=940,B7&lt;=1139),'Hoja1 (2)'!A13,IF(AND(B7&gt;=1140,B7&lt;=1339),'Hoja1 (2)'!A14,IF(AND(B7&gt;=1340,B7&lt;=1539),'Hoja1 (2)'!A15,IF(AND(B7&gt;=1540,B7&lt;=1739),'Hoja1 (2)'!A16,IF(AND(B7&gt;=1740,B7&lt;=1939),'Hoja1 (2)'!A17,IF(AND(B7&gt;=1940,B7&lt;=2139),'Hoja1 (2)'!A18,IF(AND(B7&gt;=2140),'Hoja1 (2)'!A19))))))))))</f>
        <v>CREMONA CORREDERA E15 1600MM</v>
      </c>
      <c r="C36" s="267"/>
      <c r="D36" s="41" t="s">
        <v>137</v>
      </c>
      <c r="E36" s="41"/>
      <c r="F36" s="126">
        <f>H13*2</f>
        <v>2</v>
      </c>
      <c r="G36" s="213" t="s">
        <v>138</v>
      </c>
      <c r="H36" s="327" t="s">
        <v>139</v>
      </c>
      <c r="I36" s="327"/>
      <c r="J36" s="133">
        <f>F39*2</f>
        <v>16</v>
      </c>
      <c r="M36" s="36" t="s">
        <v>140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 t="s">
        <v>141</v>
      </c>
    </row>
    <row r="37" spans="1:28" ht="18" customHeight="1" x14ac:dyDescent="0.2">
      <c r="B37" s="266" t="str">
        <f>IF(AND(H14&gt;=0,H14&lt;=60),'Hoja1 (2)'!D5,IF(AND(H14&gt;=60.1,H14&lt;=120),'Hoja1 (2)'!D6,IF(AND(H14&gt;=120.1,H14&lt;=230),'Hoja1 (2)'!D3,)))</f>
        <v>CARRO CELSUS 60 KG REGULABLE</v>
      </c>
      <c r="C37" s="267"/>
      <c r="D37" s="41" t="s">
        <v>137</v>
      </c>
      <c r="E37" s="41"/>
      <c r="F37" s="126">
        <f>H13*4</f>
        <v>4</v>
      </c>
      <c r="G37" s="214" t="s">
        <v>142</v>
      </c>
      <c r="H37" s="270" t="s">
        <v>143</v>
      </c>
      <c r="I37" s="270"/>
      <c r="J37" s="131">
        <f>IF(B36='Hoja1 (2)'!A10,2*'Dobleriel S75 simetrica hoja 80'!F36,IF(B36='Hoja1 (2)'!A11,4*'Dobleriel S75 simetrica hoja 80'!F36,IF(B36='Hoja1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M37" s="36" t="s">
        <v>144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 t="s">
        <v>145</v>
      </c>
    </row>
    <row r="38" spans="1:28" ht="18" customHeight="1" x14ac:dyDescent="0.2">
      <c r="B38" s="266" t="str">
        <f>IF(H9='Hoja1 (2)'!Q3,'Hoja1 (2)'!B3,IF(H9='Hoja1 (2)'!Q4,'Hoja1 (2)'!B4,IF(H9='Hoja1 (2)'!Q5,'Hoja1 (2)'!B4,IF(H9='Hoja1 (2)'!Q6,'Hoja1 (2)'!B5,IF(H9='Hoja1 (2)'!Q7,'Hoja1 (2)'!B5)))))</f>
        <v>MANILLA ALUMINIO VENTANA MARRON</v>
      </c>
      <c r="C38" s="267"/>
      <c r="D38" s="41" t="s">
        <v>137</v>
      </c>
      <c r="E38" s="41"/>
      <c r="F38" s="126">
        <f>F36</f>
        <v>2</v>
      </c>
      <c r="G38" s="214" t="s">
        <v>146</v>
      </c>
      <c r="H38" s="270" t="s">
        <v>147</v>
      </c>
      <c r="I38" s="270"/>
      <c r="J38" s="132">
        <f>((B7/250)*2+(C11/250)*2+(B7/250)*4+(C11/250)*2)*H13</f>
        <v>65.463999999999999</v>
      </c>
      <c r="M38" s="36" t="s">
        <v>148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 t="s">
        <v>149</v>
      </c>
    </row>
    <row r="39" spans="1:28" ht="18" customHeight="1" x14ac:dyDescent="0.2">
      <c r="B39" s="285" t="s">
        <v>150</v>
      </c>
      <c r="C39" s="270"/>
      <c r="D39" s="41" t="s">
        <v>137</v>
      </c>
      <c r="E39" s="41"/>
      <c r="F39" s="126">
        <f>IF(B36='Hoja1 (2)'!A10,1*2*H13,IF(B36='Hoja1 (2)'!A11,2*2*H13,IF(B36='Hoja1 (2)'!A12,2*2*H13,IF(B36='Hoja1 (2)'!A13,2*2*H13,IF(B36='Hoja1 (2)'!A14,3*2*H13,IF(B36='Hoja1 (2)'!A15,3*2*H13,IF(B36='Hoja1 (2)'!A16,3*2*H13,IF(B36='Hoja1 (2)'!A17,4*2*H13,IF(B36='Hoja1 (2)'!A18,4*2*H13,IF(B36='Hoja1 (2)'!A19,4*2*H13))))))))))</f>
        <v>8</v>
      </c>
      <c r="G39" s="214" t="s">
        <v>151</v>
      </c>
      <c r="H39" s="270" t="s">
        <v>152</v>
      </c>
      <c r="I39" s="270"/>
      <c r="J39" s="132">
        <f>((B7*2)/500+(C11*2)/500)*H13</f>
        <v>12.771999999999998</v>
      </c>
      <c r="M39" s="36" t="s">
        <v>153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 t="s">
        <v>154</v>
      </c>
    </row>
    <row r="40" spans="1:28" ht="18" customHeight="1" x14ac:dyDescent="0.25">
      <c r="B40" s="266" t="s">
        <v>155</v>
      </c>
      <c r="C40" s="267"/>
      <c r="D40" s="41" t="s">
        <v>137</v>
      </c>
      <c r="E40" s="41"/>
      <c r="F40" s="126">
        <f>F36</f>
        <v>2</v>
      </c>
      <c r="G40" s="214" t="s">
        <v>156</v>
      </c>
      <c r="H40" s="270" t="s">
        <v>157</v>
      </c>
      <c r="I40" s="270"/>
      <c r="J40" s="131">
        <f>F41*2</f>
        <v>4</v>
      </c>
      <c r="M40" s="17" t="s">
        <v>158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36" t="s">
        <v>159</v>
      </c>
    </row>
    <row r="41" spans="1:28" ht="18" customHeight="1" x14ac:dyDescent="0.2">
      <c r="B41" s="266" t="str">
        <f>IF(H9='Hoja1 (2)'!Q3,'Hoja1 (2)'!J7,IF(H9='Hoja1 (2)'!Q4,'Hoja1 (2)'!J8,IF(H9='Hoja1 (2)'!Q5,'Hoja1 (2)'!J8,IF(H9='Hoja1 (2)'!Q6,'Hoja1 (2)'!J9,IF(H9='Hoja1 (2)'!Q7,'Hoja1 (2)'!J9)))))</f>
        <v>TOPE ESTANCO S75 WINHOUSE CAFÉ</v>
      </c>
      <c r="C41" s="267"/>
      <c r="D41" s="41" t="s">
        <v>137</v>
      </c>
      <c r="E41" s="41"/>
      <c r="F41" s="126">
        <f>H13*2</f>
        <v>2</v>
      </c>
      <c r="G41" s="214" t="s">
        <v>160</v>
      </c>
      <c r="H41" s="270" t="s">
        <v>157</v>
      </c>
      <c r="I41" s="270"/>
      <c r="J41" s="131">
        <f>IF(B37='Hoja1 (2)'!D4,'Dobleriel S75 simetrica hoja 80'!H13*4*5,'Dobleriel S75 simetrica hoja 80'!H13*4*2)</f>
        <v>8</v>
      </c>
    </row>
    <row r="42" spans="1:28" ht="18" customHeight="1" x14ac:dyDescent="0.2">
      <c r="B42" s="266" t="str">
        <f>IF(H9='Hoja1 (2)'!Q3,'Hoja1 (2)'!J12,IF(H9='Hoja1 (2)'!Q4,'Hoja1 (2)'!J13,IF(H9='Hoja1 (2)'!Q5,'Hoja1 (2)'!J14,IF(H9='Hoja1 (2)'!Q6,'Hoja1 (2)'!J16,IF(H9='Hoja1 (2)'!Q7,'Hoja1 (2)'!J15)))))</f>
        <v>TAPA DESAGÜE MARRON</v>
      </c>
      <c r="C42" s="267"/>
      <c r="D42" s="41" t="s">
        <v>137</v>
      </c>
      <c r="E42" s="41"/>
      <c r="F42" s="126">
        <f>IF(AND(C11&gt;=0,C11&lt;=800),H13*2,IF(AND(C11&gt;=801,C11&lt;=1500),H13*3,IF(C11&gt;=1501,H13*4)))</f>
        <v>3</v>
      </c>
      <c r="G42" s="214" t="s">
        <v>161</v>
      </c>
      <c r="H42" s="288" t="s">
        <v>162</v>
      </c>
      <c r="I42" s="288"/>
      <c r="J42" s="131">
        <f>F40*2</f>
        <v>4</v>
      </c>
      <c r="M42" s="36" t="s">
        <v>163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 t="s">
        <v>164</v>
      </c>
    </row>
    <row r="43" spans="1:28" ht="18" customHeight="1" x14ac:dyDescent="0.2">
      <c r="B43" s="266" t="str">
        <f>IF(H9='Hoja1 (2)'!Q3,'Hoja1 (2)'!J20,IF(H9='Hoja1 (2)'!Q4,'Hoja1 (2)'!J21,IF(H9='Hoja1 (2)'!Q5,'Hoja1 (2)'!J21,IF(H9='Hoja1 (2)'!Q6,'Hoja1 (2)'!J24,IF(H9='Hoja1 (2)'!Q7,'Hoja1 (2)'!J24)))))</f>
        <v xml:space="preserve">TAPA TORNILLO AMO 3 MARRON </v>
      </c>
      <c r="C43" s="267"/>
      <c r="D43" s="41" t="s">
        <v>137</v>
      </c>
      <c r="E43" s="41"/>
      <c r="F43" s="127">
        <f>J39</f>
        <v>12.771999999999998</v>
      </c>
      <c r="G43" s="214" t="s">
        <v>165</v>
      </c>
      <c r="H43" s="288" t="s">
        <v>166</v>
      </c>
      <c r="I43" s="288"/>
      <c r="J43" s="131">
        <f>F38*2</f>
        <v>4</v>
      </c>
      <c r="M43" s="36" t="s">
        <v>167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 t="s">
        <v>168</v>
      </c>
    </row>
    <row r="44" spans="1:28" ht="18" customHeight="1" thickBot="1" x14ac:dyDescent="0.25">
      <c r="B44" s="266" t="str">
        <f>IF(H9='Hoja1 (2)'!Q3,'Hoja1 (2)'!J28,'Hoja1 (2)'!J29)</f>
        <v xml:space="preserve">TOPE CORREDERA 90º NEGRO </v>
      </c>
      <c r="C44" s="267"/>
      <c r="D44" s="41" t="s">
        <v>137</v>
      </c>
      <c r="E44" s="41"/>
      <c r="F44" s="126">
        <f>H13*2</f>
        <v>2</v>
      </c>
      <c r="G44" s="215" t="s">
        <v>169</v>
      </c>
      <c r="H44" s="257" t="s">
        <v>170</v>
      </c>
      <c r="I44" s="257"/>
      <c r="J44" s="202">
        <f>F44*1</f>
        <v>2</v>
      </c>
      <c r="M44" s="36" t="s">
        <v>171</v>
      </c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 t="s">
        <v>172</v>
      </c>
    </row>
    <row r="45" spans="1:28" ht="18" customHeight="1" x14ac:dyDescent="0.2">
      <c r="B45" s="264" t="s">
        <v>173</v>
      </c>
      <c r="C45" s="265"/>
      <c r="D45" s="41" t="s">
        <v>137</v>
      </c>
      <c r="E45" s="41"/>
      <c r="F45" s="126">
        <f>H13*4</f>
        <v>4</v>
      </c>
      <c r="M45" s="36" t="s">
        <v>174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 t="s">
        <v>175</v>
      </c>
    </row>
    <row r="46" spans="1:28" ht="18" customHeight="1" x14ac:dyDescent="0.25">
      <c r="A46" s="280"/>
      <c r="B46" s="258" t="s">
        <v>176</v>
      </c>
      <c r="C46" s="259"/>
      <c r="D46" s="41" t="s">
        <v>177</v>
      </c>
      <c r="E46" s="41"/>
      <c r="F46" s="128">
        <f>(((B7*6)+(C11*8))*H13)/1000</f>
        <v>21.95</v>
      </c>
      <c r="M46" s="17" t="s">
        <v>178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36" t="s">
        <v>179</v>
      </c>
    </row>
    <row r="47" spans="1:28" ht="18" customHeight="1" x14ac:dyDescent="0.2">
      <c r="A47" s="280"/>
      <c r="B47" s="266" t="str">
        <f>IF(H9='Hoja1 (2)'!Q3,'Hoja1 (2)'!K4,IF(H9='Hoja1 (2)'!Q4,'Hoja1 (2)'!K5,IF(H9='Hoja1 (2)'!Q5,'Hoja1 (2)'!K6,IF(H9='Hoja1 (2)'!Q6,'Hoja1 (2)'!K7,IF(H9='Hoja1 (2)'!Q7,'Hoja1 (2)'!K3)))))</f>
        <v>SILICONA NEUTRA 300gr. MARRON</v>
      </c>
      <c r="C47" s="267"/>
      <c r="D47" s="41" t="s">
        <v>137</v>
      </c>
      <c r="E47" s="41"/>
      <c r="F47" s="127">
        <f>(((((B7*C11)/10000)*2)*0.7)/300)*H13</f>
        <v>1.1706855999999999</v>
      </c>
      <c r="M47" s="36" t="s">
        <v>180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 t="s">
        <v>181</v>
      </c>
    </row>
    <row r="48" spans="1:28" ht="18" customHeight="1" x14ac:dyDescent="0.2">
      <c r="A48" s="280"/>
      <c r="B48" s="268" t="s">
        <v>182</v>
      </c>
      <c r="C48" s="269"/>
      <c r="D48" s="41" t="s">
        <v>137</v>
      </c>
      <c r="E48" s="41"/>
      <c r="F48" s="126">
        <f>H13*12</f>
        <v>12</v>
      </c>
      <c r="M48" s="36" t="s">
        <v>183</v>
      </c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 t="s">
        <v>184</v>
      </c>
    </row>
    <row r="49" spans="1:24" ht="17.5" customHeight="1" x14ac:dyDescent="0.2">
      <c r="A49" s="280"/>
      <c r="B49" s="286" t="s">
        <v>185</v>
      </c>
      <c r="C49" s="287"/>
      <c r="D49" s="41" t="s">
        <v>137</v>
      </c>
      <c r="E49" s="41"/>
      <c r="F49" s="126">
        <f>F48*1</f>
        <v>12</v>
      </c>
      <c r="M49" s="36" t="s">
        <v>186</v>
      </c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 t="s">
        <v>187</v>
      </c>
    </row>
    <row r="50" spans="1:24" ht="16.75" customHeight="1" x14ac:dyDescent="0.2">
      <c r="A50" s="280"/>
      <c r="B50" s="258" t="s">
        <v>188</v>
      </c>
      <c r="C50" s="259"/>
      <c r="D50" s="41" t="s">
        <v>137</v>
      </c>
      <c r="E50" s="41"/>
      <c r="F50" s="126">
        <f>1*F48</f>
        <v>12</v>
      </c>
      <c r="M50" s="36" t="s">
        <v>189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 t="s">
        <v>190</v>
      </c>
    </row>
    <row r="51" spans="1:24" ht="19.75" customHeight="1" x14ac:dyDescent="0.25">
      <c r="A51" s="280"/>
      <c r="B51" s="258" t="s">
        <v>191</v>
      </c>
      <c r="C51" s="259"/>
      <c r="D51" s="41" t="s">
        <v>137</v>
      </c>
      <c r="E51" s="41"/>
      <c r="F51" s="126">
        <f>1*F48</f>
        <v>12</v>
      </c>
      <c r="M51" s="17" t="s">
        <v>192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36" t="s">
        <v>193</v>
      </c>
    </row>
    <row r="52" spans="1:24" ht="21" customHeight="1" x14ac:dyDescent="0.2">
      <c r="B52" s="266" t="str">
        <f>IF(B37='Hoja1 (2)'!D5,'Dobleriel S75 simetrica hoja 80'!C53,IF('Dobleriel S75 simetrica hoja 80'!B37:C37='Hoja1 (2)'!D6,'Dobleriel S75 simetrica hoja 80'!C53,IF('Dobleriel S75 simetrica hoja 80'!B37:C37='Hoja1 (2)'!D3,'Dobleriel S75 simetrica hoja 80'!C54)))</f>
        <v>SUPLEMENTO CELSUS 16,5 MM.</v>
      </c>
      <c r="C52" s="267"/>
      <c r="D52" s="41" t="s">
        <v>137</v>
      </c>
      <c r="E52" s="41"/>
      <c r="F52" s="126">
        <f>4*H13</f>
        <v>4</v>
      </c>
      <c r="G52" s="18"/>
      <c r="M52" s="36" t="s">
        <v>194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 t="s">
        <v>195</v>
      </c>
    </row>
    <row r="53" spans="1:24" ht="19.399999999999999" hidden="1" customHeight="1" x14ac:dyDescent="0.2">
      <c r="B53" s="208"/>
      <c r="C53" s="41" t="s">
        <v>196</v>
      </c>
      <c r="D53" s="41"/>
      <c r="E53" s="41"/>
      <c r="F53" s="126"/>
      <c r="M53" s="36" t="s">
        <v>197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 t="s">
        <v>198</v>
      </c>
    </row>
    <row r="54" spans="1:24" ht="17.5" hidden="1" customHeight="1" x14ac:dyDescent="0.2">
      <c r="B54" s="208"/>
      <c r="C54" s="41" t="s">
        <v>199</v>
      </c>
      <c r="D54" s="41"/>
      <c r="E54" s="41"/>
      <c r="F54" s="126"/>
      <c r="M54" s="36" t="s">
        <v>200</v>
      </c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 t="s">
        <v>201</v>
      </c>
    </row>
    <row r="55" spans="1:24" ht="16.75" customHeight="1" thickBot="1" x14ac:dyDescent="0.25">
      <c r="B55" s="306" t="s">
        <v>202</v>
      </c>
      <c r="C55" s="307"/>
      <c r="D55" s="129" t="s">
        <v>137</v>
      </c>
      <c r="E55" s="129"/>
      <c r="F55" s="130">
        <f>2</f>
        <v>2</v>
      </c>
      <c r="M55" s="36" t="s">
        <v>203</v>
      </c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 t="s">
        <v>204</v>
      </c>
    </row>
    <row r="56" spans="1:24" ht="15.65" customHeight="1" x14ac:dyDescent="0.25">
      <c r="M56" s="17" t="s">
        <v>205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36" t="s">
        <v>206</v>
      </c>
    </row>
    <row r="57" spans="1:24" ht="17.5" customHeight="1" x14ac:dyDescent="0.2"/>
    <row r="58" spans="1:24" ht="14.5" x14ac:dyDescent="0.35">
      <c r="X58"/>
    </row>
    <row r="59" spans="1:24" ht="130.75" customHeight="1" x14ac:dyDescent="0.35">
      <c r="X59"/>
    </row>
    <row r="60" spans="1:24" ht="128.5" customHeight="1" x14ac:dyDescent="0.35">
      <c r="X60"/>
    </row>
  </sheetData>
  <sheetProtection algorithmName="SHA-512" hashValue="CHHfruEXuB+bKR0mnZulkoHnm4wHroTnUAUrxg0p5tcxcCMUEeWAy0NPwsrfkC0Tfnz9COW9vZ7ZopBjlivlFw==" saltValue="Dm5LVbzGmwsrRviyVfK59w==" spinCount="100000" sheet="1" objects="1" scenarios="1"/>
  <dataConsolidate/>
  <mergeCells count="56">
    <mergeCell ref="H37:I37"/>
    <mergeCell ref="B29:C29"/>
    <mergeCell ref="B36:C36"/>
    <mergeCell ref="B55:C55"/>
    <mergeCell ref="H41:I41"/>
    <mergeCell ref="H40:I40"/>
    <mergeCell ref="H39:I39"/>
    <mergeCell ref="H38:I38"/>
    <mergeCell ref="B52:C52"/>
    <mergeCell ref="B46:C46"/>
    <mergeCell ref="B47:C47"/>
    <mergeCell ref="H42:I42"/>
    <mergeCell ref="H43:I43"/>
    <mergeCell ref="H44:I44"/>
    <mergeCell ref="B45:C45"/>
    <mergeCell ref="H2:J4"/>
    <mergeCell ref="B2:G2"/>
    <mergeCell ref="H36:I36"/>
    <mergeCell ref="H35:I35"/>
    <mergeCell ref="B21:C21"/>
    <mergeCell ref="B22:C22"/>
    <mergeCell ref="B23:C23"/>
    <mergeCell ref="B24:C24"/>
    <mergeCell ref="B26:C26"/>
    <mergeCell ref="H16:I16"/>
    <mergeCell ref="C32:F32"/>
    <mergeCell ref="C4:C10"/>
    <mergeCell ref="H11:I11"/>
    <mergeCell ref="G5:J5"/>
    <mergeCell ref="H7:I7"/>
    <mergeCell ref="B25:C25"/>
    <mergeCell ref="H8:I8"/>
    <mergeCell ref="H9:I9"/>
    <mergeCell ref="H10:I10"/>
    <mergeCell ref="B16:C16"/>
    <mergeCell ref="B17:C17"/>
    <mergeCell ref="B18:C18"/>
    <mergeCell ref="B19:C19"/>
    <mergeCell ref="B20:C20"/>
    <mergeCell ref="B27:C27"/>
    <mergeCell ref="B28:C28"/>
    <mergeCell ref="A46:A51"/>
    <mergeCell ref="C33:F33"/>
    <mergeCell ref="B37:C37"/>
    <mergeCell ref="B38:C38"/>
    <mergeCell ref="B39:C39"/>
    <mergeCell ref="B40:C40"/>
    <mergeCell ref="B41:C41"/>
    <mergeCell ref="B42:C42"/>
    <mergeCell ref="B43:C43"/>
    <mergeCell ref="B44:C44"/>
    <mergeCell ref="B50:C50"/>
    <mergeCell ref="B51:C51"/>
    <mergeCell ref="B48:C48"/>
    <mergeCell ref="B49:C49"/>
    <mergeCell ref="B35:D35"/>
  </mergeCells>
  <conditionalFormatting sqref="M26:W29">
    <cfRule type="duplicateValues" dxfId="182" priority="32"/>
    <cfRule type="duplicateValues" dxfId="181" priority="34"/>
    <cfRule type="duplicateValues" dxfId="180" priority="35"/>
  </conditionalFormatting>
  <conditionalFormatting sqref="M32:W34 M36:W39">
    <cfRule type="duplicateValues" dxfId="179" priority="29"/>
  </conditionalFormatting>
  <conditionalFormatting sqref="M32:W34">
    <cfRule type="duplicateValues" dxfId="178" priority="26"/>
    <cfRule type="duplicateValues" dxfId="177" priority="40"/>
  </conditionalFormatting>
  <conditionalFormatting sqref="M42:W45 M47:W50 M52:W55">
    <cfRule type="duplicateValues" dxfId="176" priority="23"/>
  </conditionalFormatting>
  <conditionalFormatting sqref="M42:W45">
    <cfRule type="duplicateValues" dxfId="175" priority="20"/>
    <cfRule type="duplicateValues" dxfId="174" priority="22"/>
  </conditionalFormatting>
  <conditionalFormatting sqref="M59:W6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{EC2767C4-C517-48FB-80ED-CAA1FA2C5F18}</x14:id>
        </ext>
      </extLst>
    </cfRule>
  </conditionalFormatting>
  <conditionalFormatting sqref="M59:X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{1D4464CF-DFF2-492D-B592-95A537F4B542}</x14:id>
        </ext>
      </extLst>
    </cfRule>
  </conditionalFormatting>
  <conditionalFormatting sqref="X26:X30">
    <cfRule type="duplicateValues" dxfId="173" priority="31"/>
    <cfRule type="duplicateValues" dxfId="172" priority="33"/>
    <cfRule type="duplicateValues" dxfId="171" priority="36"/>
  </conditionalFormatting>
  <conditionalFormatting sqref="X32:X40">
    <cfRule type="duplicateValues" dxfId="170" priority="38"/>
  </conditionalFormatting>
  <conditionalFormatting sqref="X42:X56">
    <cfRule type="duplicateValues" dxfId="169" priority="19"/>
    <cfRule type="duplicateValues" dxfId="168" priority="21"/>
    <cfRule type="duplicateValues" dxfId="167" priority="24"/>
  </conditionalFormatting>
  <conditionalFormatting sqref="X5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{F2545A2C-B07C-4C44-96F8-D7AC6AC3F3E4}</x14:id>
        </ext>
      </extLst>
    </cfRule>
  </conditionalFormatting>
  <conditionalFormatting sqref="AA18:AA21">
    <cfRule type="duplicateValues" dxfId="166" priority="14"/>
    <cfRule type="duplicateValues" dxfId="165" priority="16"/>
    <cfRule type="duplicateValues" dxfId="164" priority="17"/>
  </conditionalFormatting>
  <conditionalFormatting sqref="AB18:AB22">
    <cfRule type="duplicateValues" dxfId="163" priority="13"/>
    <cfRule type="duplicateValues" dxfId="162" priority="15"/>
    <cfRule type="duplicateValues" dxfId="161" priority="18"/>
  </conditionalFormatting>
  <dataValidations count="1">
    <dataValidation type="list" allowBlank="1" showInputMessage="1" showErrorMessage="1" sqref="H11:I11" xr:uid="{00000000-0002-0000-0100-000000000000}">
      <formula1>$N$2:$N$16</formula1>
    </dataValidation>
  </dataValidations>
  <pageMargins left="0.7" right="0.7" top="0.75" bottom="0.75" header="0.3" footer="0.3"/>
  <pageSetup scale="61" orientation="portrait" horizontalDpi="300" verticalDpi="300" r:id="rId1"/>
  <ignoredErrors>
    <ignoredError sqref="F21 F19" 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2767C4-C517-48FB-80ED-CAA1FA2C5F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M59:W60</xm:sqref>
        </x14:conditionalFormatting>
        <x14:conditionalFormatting xmlns:xm="http://schemas.microsoft.com/office/excel/2006/main">
          <x14:cfRule type="dataBar" id="{1D4464CF-DFF2-492D-B592-95A537F4B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M59:X60</xm:sqref>
        </x14:conditionalFormatting>
        <x14:conditionalFormatting xmlns:xm="http://schemas.microsoft.com/office/excel/2006/main">
          <x14:cfRule type="dataBar" id="{F2545A2C-B07C-4C44-96F8-D7AC6AC3F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'Hoja1 (2)'!$Q$3:$Q$7</xm:f>
          </x14:formula1>
          <xm:sqref>H9:I9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0"/>
  <sheetViews>
    <sheetView topLeftCell="B1" zoomScaleNormal="100" workbookViewId="0">
      <selection activeCell="B8" sqref="B8"/>
    </sheetView>
  </sheetViews>
  <sheetFormatPr baseColWidth="10" defaultColWidth="11.453125" defaultRowHeight="10" x14ac:dyDescent="0.2"/>
  <cols>
    <col min="1" max="1" width="5.81640625" style="2" customWidth="1"/>
    <col min="2" max="2" width="18.81640625" style="1" bestFit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3.54296875" style="1" customWidth="1"/>
    <col min="8" max="8" width="9.1796875" style="1" customWidth="1"/>
    <col min="9" max="9" width="10.54296875" style="1" customWidth="1"/>
    <col min="10" max="10" width="16" style="1" bestFit="1" customWidth="1"/>
    <col min="11" max="18" width="17.54296875" style="2" hidden="1" customWidth="1"/>
    <col min="19" max="19" width="12" style="2" hidden="1" customWidth="1"/>
    <col min="20" max="20" width="41.81640625" style="2" hidden="1" customWidth="1"/>
    <col min="21" max="21" width="26.81640625" style="2" hidden="1" customWidth="1"/>
    <col min="22" max="22" width="32.54296875" style="5" hidden="1" customWidth="1"/>
    <col min="23" max="23" width="22.453125" style="2" hidden="1" customWidth="1"/>
    <col min="24" max="24" width="26.81640625" style="2" hidden="1" customWidth="1"/>
    <col min="25" max="26" width="11.453125" style="2" hidden="1" customWidth="1"/>
    <col min="27" max="27" width="37.1796875" style="2" customWidth="1"/>
    <col min="28" max="30" width="11.453125" style="2" customWidth="1"/>
    <col min="31" max="16384" width="11.453125" style="2"/>
  </cols>
  <sheetData>
    <row r="1" spans="2:26" ht="21" customHeight="1" thickBot="1" x14ac:dyDescent="0.25"/>
    <row r="2" spans="2:26" ht="35" thickBot="1" x14ac:dyDescent="0.25">
      <c r="B2" s="91"/>
      <c r="C2" s="92"/>
      <c r="D2" s="93" t="s">
        <v>2</v>
      </c>
      <c r="E2" s="92"/>
      <c r="F2" s="92"/>
      <c r="G2" s="92"/>
      <c r="H2" s="320"/>
      <c r="I2" s="289"/>
      <c r="J2" s="290"/>
      <c r="M2" s="50" t="str">
        <f>H11</f>
        <v>19 mm   -    4 inc+10+5 inc</v>
      </c>
    </row>
    <row r="3" spans="2:26" ht="22" x14ac:dyDescent="0.2">
      <c r="B3" s="95"/>
      <c r="C3" s="4"/>
      <c r="D3" s="2"/>
      <c r="H3" s="321"/>
      <c r="I3" s="291"/>
      <c r="J3" s="292"/>
      <c r="K3" s="2">
        <v>3.7</v>
      </c>
      <c r="L3" s="18" t="str">
        <f>N3&amp;" -    "&amp;M3&amp;" "&amp;"mm"</f>
        <v>Semilla -    3.7 mm</v>
      </c>
      <c r="M3" s="1" t="s">
        <v>3</v>
      </c>
      <c r="N3" s="1" t="s">
        <v>4</v>
      </c>
      <c r="O3" s="2" t="s">
        <v>5</v>
      </c>
      <c r="Q3" s="1" t="s">
        <v>6</v>
      </c>
      <c r="R3" s="1"/>
      <c r="S3" s="18" t="s">
        <v>7</v>
      </c>
    </row>
    <row r="4" spans="2:26" ht="21" customHeight="1" thickBot="1" x14ac:dyDescent="0.25">
      <c r="B4" s="95"/>
      <c r="C4" s="298"/>
      <c r="H4" s="322"/>
      <c r="I4" s="323"/>
      <c r="J4" s="324"/>
      <c r="K4" s="2">
        <v>4</v>
      </c>
      <c r="L4" s="18" t="str">
        <f>M4&amp;" "&amp;"mm"&amp;"     -    "&amp;N4</f>
        <v>4 mm     -    Incoloro</v>
      </c>
      <c r="M4" s="1">
        <v>4</v>
      </c>
      <c r="N4" s="1" t="s">
        <v>8</v>
      </c>
      <c r="O4" s="2" t="s">
        <v>9</v>
      </c>
      <c r="Q4" s="1" t="s">
        <v>6</v>
      </c>
      <c r="R4" s="1"/>
      <c r="S4" s="18" t="s">
        <v>10</v>
      </c>
    </row>
    <row r="5" spans="2:26" ht="21" customHeight="1" thickBot="1" x14ac:dyDescent="0.25">
      <c r="B5" s="95"/>
      <c r="C5" s="298"/>
      <c r="G5" s="300" t="s">
        <v>13</v>
      </c>
      <c r="H5" s="339"/>
      <c r="I5" s="339"/>
      <c r="J5" s="340"/>
      <c r="K5" s="2">
        <v>4</v>
      </c>
      <c r="L5" s="18" t="str">
        <f>M5&amp;" "&amp;"mm"&amp;"     -    "&amp;N5</f>
        <v>4 mm     -    Saten</v>
      </c>
      <c r="M5" s="1">
        <v>4</v>
      </c>
      <c r="N5" s="1" t="s">
        <v>11</v>
      </c>
      <c r="O5" s="2" t="s">
        <v>12</v>
      </c>
      <c r="Q5" s="1" t="s">
        <v>6</v>
      </c>
      <c r="R5" s="1"/>
      <c r="S5" s="18" t="s">
        <v>10</v>
      </c>
      <c r="V5" s="12" t="s">
        <v>15</v>
      </c>
      <c r="W5" s="2" t="s">
        <v>16</v>
      </c>
      <c r="X5" s="2" t="s">
        <v>17</v>
      </c>
      <c r="Y5" s="2" t="s">
        <v>18</v>
      </c>
      <c r="Z5" s="2" t="s">
        <v>19</v>
      </c>
    </row>
    <row r="6" spans="2:26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2">
        <v>5</v>
      </c>
      <c r="L6" s="18" t="str">
        <f>M6&amp;" "&amp;"mm"&amp;"     -    "&amp;N6</f>
        <v>5 mm     -    Incoloro</v>
      </c>
      <c r="M6" s="1">
        <v>5</v>
      </c>
      <c r="N6" s="1" t="s">
        <v>8</v>
      </c>
      <c r="O6" s="2" t="s">
        <v>14</v>
      </c>
      <c r="Q6" s="1" t="s">
        <v>6</v>
      </c>
      <c r="R6" s="1"/>
      <c r="S6" s="18" t="s">
        <v>10</v>
      </c>
      <c r="V6" s="12" t="s">
        <v>25</v>
      </c>
      <c r="W6" s="2" t="s">
        <v>26</v>
      </c>
      <c r="X6" s="2">
        <v>80</v>
      </c>
      <c r="Y6" s="2">
        <v>62</v>
      </c>
      <c r="Z6" s="2">
        <v>2</v>
      </c>
    </row>
    <row r="7" spans="2:26" ht="22.4" customHeight="1" x14ac:dyDescent="0.2">
      <c r="B7" s="98">
        <v>2455</v>
      </c>
      <c r="C7" s="298"/>
      <c r="D7" s="96"/>
      <c r="E7" s="96"/>
      <c r="G7" s="51" t="s">
        <v>27</v>
      </c>
      <c r="H7" s="303" t="str">
        <f>C11&amp;"  "&amp;"mm"&amp;" "&amp;"x"&amp;" "&amp;B7&amp;" "&amp;"mm"</f>
        <v>7605  mm x 2455 mm</v>
      </c>
      <c r="I7" s="303"/>
      <c r="J7" s="99"/>
      <c r="K7" s="2">
        <v>6</v>
      </c>
      <c r="L7" s="18" t="str">
        <f>M7&amp;" "&amp;"mm"&amp;"     -    "&amp;N7</f>
        <v>6 mm     -    Incoloro</v>
      </c>
      <c r="M7" s="1">
        <v>6</v>
      </c>
      <c r="N7" s="1" t="s">
        <v>8</v>
      </c>
      <c r="O7" s="2" t="s">
        <v>22</v>
      </c>
      <c r="Q7" s="1" t="s">
        <v>6</v>
      </c>
      <c r="R7" s="1"/>
      <c r="S7" s="18" t="s">
        <v>10</v>
      </c>
      <c r="V7" s="12" t="s">
        <v>32</v>
      </c>
      <c r="W7" s="2" t="s">
        <v>33</v>
      </c>
      <c r="X7" s="2">
        <v>98</v>
      </c>
      <c r="Y7" s="2">
        <v>80</v>
      </c>
      <c r="Z7" s="2">
        <v>3</v>
      </c>
    </row>
    <row r="8" spans="2:26" ht="34.75" customHeight="1" x14ac:dyDescent="0.2">
      <c r="B8" s="95"/>
      <c r="C8" s="298"/>
      <c r="D8" s="96"/>
      <c r="E8" s="96"/>
      <c r="F8" s="2"/>
      <c r="G8" s="51" t="s">
        <v>34</v>
      </c>
      <c r="H8" s="304" t="s">
        <v>207</v>
      </c>
      <c r="I8" s="304"/>
      <c r="J8" s="99"/>
      <c r="K8" s="2">
        <v>6</v>
      </c>
      <c r="L8" s="18" t="str">
        <f>M8&amp;" "&amp;"mm"&amp;"     -    "&amp;N8</f>
        <v>6 mm     -    Laminado</v>
      </c>
      <c r="M8" s="1">
        <v>6</v>
      </c>
      <c r="N8" s="1" t="s">
        <v>28</v>
      </c>
      <c r="O8" s="2" t="s">
        <v>29</v>
      </c>
      <c r="Q8" s="1" t="s">
        <v>6</v>
      </c>
      <c r="R8" s="1"/>
      <c r="S8" s="18" t="s">
        <v>10</v>
      </c>
      <c r="V8" s="12" t="s">
        <v>42</v>
      </c>
    </row>
    <row r="9" spans="2:26" ht="21" customHeight="1" x14ac:dyDescent="0.2">
      <c r="B9" s="95"/>
      <c r="C9" s="298"/>
      <c r="D9" s="96"/>
      <c r="E9" s="96"/>
      <c r="G9" s="51" t="s">
        <v>43</v>
      </c>
      <c r="H9" s="341" t="s">
        <v>44</v>
      </c>
      <c r="I9" s="341"/>
      <c r="J9" s="100"/>
      <c r="K9" s="2">
        <v>8</v>
      </c>
      <c r="L9" s="18" t="str">
        <f t="shared" ref="L9:L16" si="0">M9&amp;" "&amp;"mm"&amp;"   -    "&amp;N9</f>
        <v>18 mm   -    4 inc+10+4 inc</v>
      </c>
      <c r="M9" s="1">
        <v>18</v>
      </c>
      <c r="N9" s="1" t="s">
        <v>36</v>
      </c>
      <c r="O9" s="2" t="s">
        <v>37</v>
      </c>
      <c r="Q9" s="1" t="s">
        <v>38</v>
      </c>
      <c r="R9" s="1"/>
      <c r="S9" s="18" t="s">
        <v>39</v>
      </c>
      <c r="V9" s="12" t="s">
        <v>44</v>
      </c>
    </row>
    <row r="10" spans="2:26" ht="21" customHeight="1" x14ac:dyDescent="0.2">
      <c r="B10" s="95"/>
      <c r="C10" s="299"/>
      <c r="D10" s="96"/>
      <c r="E10" s="96"/>
      <c r="G10" s="51" t="s">
        <v>47</v>
      </c>
      <c r="H10" s="304">
        <v>2</v>
      </c>
      <c r="I10" s="304"/>
      <c r="J10" s="99"/>
      <c r="K10" s="2">
        <v>8</v>
      </c>
      <c r="L10" s="18" t="str">
        <f t="shared" si="0"/>
        <v>18 mm   -    4 inc+10+4 sat</v>
      </c>
      <c r="M10" s="1">
        <v>18</v>
      </c>
      <c r="N10" s="1" t="s">
        <v>45</v>
      </c>
      <c r="O10" s="2" t="s">
        <v>46</v>
      </c>
      <c r="Q10" s="1" t="s">
        <v>38</v>
      </c>
      <c r="R10" s="1"/>
      <c r="S10" s="18" t="s">
        <v>39</v>
      </c>
      <c r="V10" s="1" t="s">
        <v>50</v>
      </c>
    </row>
    <row r="11" spans="2:26" ht="21" customHeight="1" x14ac:dyDescent="0.2">
      <c r="B11" s="101"/>
      <c r="C11" s="37">
        <v>7605</v>
      </c>
      <c r="D11" s="96"/>
      <c r="E11" s="96"/>
      <c r="G11" s="51" t="s">
        <v>51</v>
      </c>
      <c r="H11" s="295" t="s">
        <v>52</v>
      </c>
      <c r="I11" s="295"/>
      <c r="J11" s="102"/>
      <c r="K11" s="2">
        <v>10</v>
      </c>
      <c r="L11" s="18" t="str">
        <f t="shared" si="0"/>
        <v>18 mm   -    5 inc+8+5 inc</v>
      </c>
      <c r="M11" s="1">
        <v>18</v>
      </c>
      <c r="N11" s="1" t="s">
        <v>48</v>
      </c>
      <c r="O11" s="2" t="s">
        <v>49</v>
      </c>
      <c r="Q11" s="1" t="s">
        <v>38</v>
      </c>
      <c r="R11" s="1"/>
      <c r="S11" s="18" t="s">
        <v>39</v>
      </c>
    </row>
    <row r="12" spans="2:26" ht="21" customHeight="1" x14ac:dyDescent="0.2">
      <c r="B12" s="95"/>
      <c r="G12" s="51" t="s">
        <v>55</v>
      </c>
      <c r="H12" s="7">
        <f>C11*B7/1000000</f>
        <v>18.670275</v>
      </c>
      <c r="I12" s="8" t="s">
        <v>56</v>
      </c>
      <c r="J12" s="103"/>
      <c r="K12" s="2">
        <v>9</v>
      </c>
      <c r="L12" s="18" t="str">
        <f t="shared" si="0"/>
        <v>19 mm   -    4 inc+10+5 inc</v>
      </c>
      <c r="M12" s="1">
        <v>19</v>
      </c>
      <c r="N12" s="1" t="s">
        <v>53</v>
      </c>
      <c r="O12" s="2" t="s">
        <v>54</v>
      </c>
      <c r="Q12" s="1" t="s">
        <v>38</v>
      </c>
      <c r="R12" s="1"/>
      <c r="S12" s="18" t="s">
        <v>39</v>
      </c>
      <c r="V12" s="2"/>
    </row>
    <row r="13" spans="2:26" ht="21" customHeight="1" x14ac:dyDescent="0.2">
      <c r="B13" s="95"/>
      <c r="C13" s="104"/>
      <c r="E13" s="105"/>
      <c r="G13" s="52" t="s">
        <v>59</v>
      </c>
      <c r="H13" s="39">
        <v>1</v>
      </c>
      <c r="I13" s="8" t="s">
        <v>60</v>
      </c>
      <c r="J13" s="102"/>
      <c r="K13" s="27">
        <v>11</v>
      </c>
      <c r="L13" s="18" t="str">
        <f t="shared" si="0"/>
        <v>19 mm   -    5 inc+8+6 inc</v>
      </c>
      <c r="M13" s="1">
        <v>19</v>
      </c>
      <c r="N13" s="1" t="s">
        <v>57</v>
      </c>
      <c r="O13" s="2" t="s">
        <v>58</v>
      </c>
      <c r="P13" s="1"/>
      <c r="Q13" s="1" t="s">
        <v>38</v>
      </c>
      <c r="R13" s="1"/>
      <c r="S13" s="18" t="s">
        <v>39</v>
      </c>
      <c r="T13" s="3"/>
      <c r="U13" s="3"/>
      <c r="V13" s="2"/>
    </row>
    <row r="14" spans="2:26" s="3" customFormat="1" ht="21" customHeight="1" thickBot="1" x14ac:dyDescent="0.25">
      <c r="B14" s="106"/>
      <c r="C14" s="107"/>
      <c r="D14" s="107"/>
      <c r="E14" s="107"/>
      <c r="F14" s="107"/>
      <c r="G14" s="108" t="s">
        <v>208</v>
      </c>
      <c r="H14" s="109">
        <f>IF(H11=L3,((H12/2)*K3*2.54*1.3),IF(H11=L4,((H12/2)*K4*2.54*1.3),IF(H11=L5,((H12/2)*K5*2.54*1.3),IF(H11=L6,((H12/2)*K6*2.54*1.3),IF(H11=L7,((H12/2)*K7*2.54*1.3),IF(H11=L8,((H12/2)*K8*2.54*1.3),IF(H11=L9,((H12/2)*K9*2.54*1.3),IF(H11=L10,((H12/2)*K10*2.54*1.3),IF(H11=L11,((H12/2)*K11*2.54*1.3),IF(H11=L12,((H12/2)*K12*2.54*1.3),IF(H11=L13,((H12/2)*K13*2.54*1.3),IF(H11=L14,((H12/2)*K14*2.54*1.3),IF(H11=L16,((H12/2)*K16*2.54*1.3),IF(H11=L17,((H12/2)*K17*2.54*1.3)))))))))))))))</f>
        <v>277.42161622500004</v>
      </c>
      <c r="I14" s="107"/>
      <c r="J14" s="110"/>
      <c r="K14" s="2">
        <v>11</v>
      </c>
      <c r="L14" s="18" t="str">
        <f t="shared" si="0"/>
        <v>19 mm   -    5 inc+8+6 lam</v>
      </c>
      <c r="M14" s="1">
        <v>19</v>
      </c>
      <c r="N14" s="1" t="s">
        <v>61</v>
      </c>
      <c r="O14" s="2" t="s">
        <v>62</v>
      </c>
      <c r="P14" s="2"/>
      <c r="Q14" s="1" t="s">
        <v>38</v>
      </c>
      <c r="R14" s="1"/>
      <c r="S14" s="18" t="s">
        <v>39</v>
      </c>
      <c r="T14" s="2"/>
      <c r="U14" s="2"/>
      <c r="V14" s="2"/>
      <c r="W14" s="2"/>
      <c r="X14" s="2"/>
      <c r="Y14" s="2"/>
    </row>
    <row r="15" spans="2:26" s="3" customFormat="1" ht="21" customHeight="1" thickBot="1" x14ac:dyDescent="0.25">
      <c r="G15" s="135"/>
      <c r="H15" s="134"/>
      <c r="K15" s="2"/>
      <c r="L15" s="18"/>
      <c r="M15" s="1"/>
      <c r="N15" s="1"/>
      <c r="O15" s="2"/>
      <c r="P15" s="2"/>
      <c r="Q15" s="1"/>
      <c r="R15" s="1"/>
      <c r="S15" s="18"/>
      <c r="T15" s="2"/>
      <c r="U15" s="2"/>
      <c r="V15" s="2"/>
      <c r="W15" s="2"/>
      <c r="X15" s="2"/>
      <c r="Y15" s="2"/>
    </row>
    <row r="16" spans="2:26" ht="15" customHeight="1" thickBot="1" x14ac:dyDescent="0.25">
      <c r="B16" s="262" t="s">
        <v>66</v>
      </c>
      <c r="C16" s="263"/>
      <c r="D16" s="139"/>
      <c r="E16" s="138"/>
      <c r="F16" s="116" t="s">
        <v>67</v>
      </c>
      <c r="G16" s="116" t="s">
        <v>68</v>
      </c>
      <c r="H16" s="296" t="s">
        <v>69</v>
      </c>
      <c r="I16" s="297"/>
      <c r="J16" s="116" t="s">
        <v>70</v>
      </c>
      <c r="K16" s="2">
        <v>10</v>
      </c>
      <c r="L16" s="18" t="str">
        <f t="shared" si="0"/>
        <v>20 mm   -    4 inc+10+6 lam</v>
      </c>
      <c r="M16" s="1">
        <v>20</v>
      </c>
      <c r="N16" s="1" t="s">
        <v>64</v>
      </c>
      <c r="O16" s="2" t="s">
        <v>65</v>
      </c>
      <c r="Q16" s="1" t="s">
        <v>38</v>
      </c>
      <c r="R16" s="1"/>
      <c r="S16" s="18" t="s">
        <v>39</v>
      </c>
      <c r="V16" s="2"/>
    </row>
    <row r="17" spans="2:24" ht="15" customHeight="1" x14ac:dyDescent="0.2">
      <c r="B17" s="308" t="str">
        <f>IF(H10=Z6,"MARCO DOBLE RIEL CORREDERA S75",IF(H10=Z7,"MARCO TRIPLE RIEL"))</f>
        <v>MARCO DOBLE RIEL CORREDERA S75</v>
      </c>
      <c r="C17" s="309"/>
      <c r="D17" s="186"/>
      <c r="E17" s="43"/>
      <c r="F17" s="186">
        <f>H13*2</f>
        <v>2</v>
      </c>
      <c r="G17" s="241">
        <f>C11+5</f>
        <v>7610</v>
      </c>
      <c r="H17" s="186" t="s">
        <v>75</v>
      </c>
      <c r="I17" s="186" t="s">
        <v>75</v>
      </c>
      <c r="J17" s="242" t="s">
        <v>76</v>
      </c>
      <c r="K17" s="2">
        <v>12</v>
      </c>
      <c r="L17" s="2" t="s">
        <v>71</v>
      </c>
      <c r="M17" s="12">
        <v>22</v>
      </c>
      <c r="N17" s="1" t="s">
        <v>72</v>
      </c>
      <c r="O17" s="2" t="s">
        <v>73</v>
      </c>
      <c r="S17" s="18" t="s">
        <v>74</v>
      </c>
      <c r="V17" s="2"/>
    </row>
    <row r="18" spans="2:24" ht="15" customHeight="1" x14ac:dyDescent="0.2">
      <c r="B18" s="260" t="str">
        <f>B17</f>
        <v>MARCO DOBLE RIEL CORREDERA S75</v>
      </c>
      <c r="C18" s="261"/>
      <c r="D18" s="43"/>
      <c r="E18" s="43"/>
      <c r="F18" s="43">
        <f>F17</f>
        <v>2</v>
      </c>
      <c r="G18" s="15">
        <f>B7+5</f>
        <v>2460</v>
      </c>
      <c r="H18" s="43" t="s">
        <v>75</v>
      </c>
      <c r="I18" s="43" t="s">
        <v>75</v>
      </c>
      <c r="J18" s="136" t="s">
        <v>77</v>
      </c>
      <c r="K18" s="232"/>
      <c r="L18" s="232"/>
      <c r="M18" s="232"/>
      <c r="N18" s="232"/>
      <c r="O18" s="232"/>
      <c r="P18" s="232"/>
      <c r="Q18" s="232"/>
      <c r="R18" s="232"/>
      <c r="S18" s="2" t="s">
        <v>78</v>
      </c>
      <c r="T18" s="2" t="s">
        <v>79</v>
      </c>
      <c r="U18" s="12" t="s">
        <v>32</v>
      </c>
      <c r="V18" s="2"/>
      <c r="W18" s="36" t="s">
        <v>80</v>
      </c>
      <c r="X18" s="36" t="s">
        <v>81</v>
      </c>
    </row>
    <row r="19" spans="2:24" ht="15" customHeight="1" x14ac:dyDescent="0.2">
      <c r="B19" s="260" t="s">
        <v>209</v>
      </c>
      <c r="C19" s="261"/>
      <c r="D19" s="43"/>
      <c r="E19" s="43"/>
      <c r="F19" s="43">
        <f>IF(H10=Z7,H10+1,IF(H10=Z6,H10*1))*H13</f>
        <v>2</v>
      </c>
      <c r="G19" s="15">
        <f>G17-85</f>
        <v>7525</v>
      </c>
      <c r="H19" s="43" t="s">
        <v>83</v>
      </c>
      <c r="I19" s="43" t="s">
        <v>83</v>
      </c>
      <c r="J19" s="136" t="s">
        <v>76</v>
      </c>
      <c r="K19" s="232"/>
      <c r="L19" s="232"/>
      <c r="M19" s="232"/>
      <c r="N19" s="232"/>
      <c r="O19" s="232"/>
      <c r="P19" s="232"/>
      <c r="Q19" s="232"/>
      <c r="R19" s="232"/>
      <c r="S19" s="2" t="s">
        <v>84</v>
      </c>
      <c r="T19" s="2" t="s">
        <v>85</v>
      </c>
      <c r="U19" s="12" t="s">
        <v>42</v>
      </c>
      <c r="W19" s="36" t="s">
        <v>86</v>
      </c>
      <c r="X19" s="36" t="s">
        <v>87</v>
      </c>
    </row>
    <row r="20" spans="2:24" ht="15" customHeight="1" x14ac:dyDescent="0.2">
      <c r="B20" s="260" t="s">
        <v>209</v>
      </c>
      <c r="C20" s="261"/>
      <c r="D20" s="43"/>
      <c r="E20" s="43"/>
      <c r="F20" s="43">
        <f>F19</f>
        <v>2</v>
      </c>
      <c r="G20" s="15">
        <f>G18-85</f>
        <v>2375</v>
      </c>
      <c r="H20" s="43" t="s">
        <v>83</v>
      </c>
      <c r="I20" s="43" t="s">
        <v>83</v>
      </c>
      <c r="J20" s="136" t="s">
        <v>77</v>
      </c>
      <c r="K20" s="232"/>
      <c r="L20" s="232"/>
      <c r="M20" s="232"/>
      <c r="N20" s="232"/>
      <c r="O20" s="232"/>
      <c r="P20" s="232"/>
      <c r="Q20" s="232"/>
      <c r="R20" s="232"/>
      <c r="S20" s="2" t="s">
        <v>88</v>
      </c>
      <c r="T20" s="2" t="s">
        <v>89</v>
      </c>
      <c r="U20" s="12" t="s">
        <v>44</v>
      </c>
      <c r="V20" s="2"/>
      <c r="W20" s="36" t="s">
        <v>90</v>
      </c>
      <c r="X20" s="36" t="s">
        <v>91</v>
      </c>
    </row>
    <row r="21" spans="2:24" ht="15" customHeight="1" x14ac:dyDescent="0.2">
      <c r="B21" s="260" t="s">
        <v>210</v>
      </c>
      <c r="C21" s="261"/>
      <c r="D21" s="43"/>
      <c r="E21" s="43"/>
      <c r="F21" s="43">
        <f>IF(H10=Z6,(H13*4),IF(H10=Z7,(H13*6)))</f>
        <v>4</v>
      </c>
      <c r="G21" s="15">
        <f>(C11-80)/2+54</f>
        <v>3816.5</v>
      </c>
      <c r="H21" s="43" t="s">
        <v>75</v>
      </c>
      <c r="I21" s="43" t="s">
        <v>75</v>
      </c>
      <c r="J21" s="136" t="s">
        <v>211</v>
      </c>
      <c r="K21" s="232"/>
      <c r="L21" s="232"/>
      <c r="M21" s="232"/>
      <c r="N21" s="232"/>
      <c r="O21" s="232"/>
      <c r="P21" s="232"/>
      <c r="Q21" s="232"/>
      <c r="R21" s="232"/>
      <c r="S21" s="2" t="s">
        <v>94</v>
      </c>
      <c r="T21" s="2" t="s">
        <v>95</v>
      </c>
      <c r="U21" s="12" t="s">
        <v>25</v>
      </c>
      <c r="W21" s="36" t="s">
        <v>96</v>
      </c>
      <c r="X21" s="36" t="s">
        <v>97</v>
      </c>
    </row>
    <row r="22" spans="2:24" ht="15" customHeight="1" x14ac:dyDescent="0.25">
      <c r="B22" s="260" t="str">
        <f>B21</f>
        <v>HOJA CORREDERA 98</v>
      </c>
      <c r="C22" s="261"/>
      <c r="D22" s="43"/>
      <c r="E22" s="43"/>
      <c r="F22" s="43">
        <f>F21</f>
        <v>4</v>
      </c>
      <c r="G22" s="15">
        <f>B7-48-48+16+5</f>
        <v>2380</v>
      </c>
      <c r="H22" s="43" t="s">
        <v>75</v>
      </c>
      <c r="I22" s="43" t="s">
        <v>75</v>
      </c>
      <c r="J22" s="136" t="s">
        <v>212</v>
      </c>
      <c r="K22" s="232"/>
      <c r="L22" s="232"/>
      <c r="M22" s="232"/>
      <c r="N22" s="232"/>
      <c r="O22" s="232"/>
      <c r="P22" s="232"/>
      <c r="Q22" s="232"/>
      <c r="R22" s="232"/>
      <c r="S22" s="2" t="s">
        <v>99</v>
      </c>
      <c r="T22" s="2" t="s">
        <v>100</v>
      </c>
      <c r="U22" s="1" t="s">
        <v>50</v>
      </c>
      <c r="V22" s="2"/>
      <c r="W22" s="17" t="s">
        <v>101</v>
      </c>
      <c r="X22" s="36" t="s">
        <v>102</v>
      </c>
    </row>
    <row r="23" spans="2:24" ht="15" customHeight="1" x14ac:dyDescent="0.2">
      <c r="B23" s="260" t="str">
        <f>IF(G18 &gt;= 2500, "REFUERZO BOX CON INCLINACION","REFUERZO HOJA CORREDERA 98 2 MM")</f>
        <v>REFUERZO HOJA CORREDERA 98 2 MM</v>
      </c>
      <c r="C23" s="261"/>
      <c r="D23" s="43"/>
      <c r="E23" s="43"/>
      <c r="F23" s="43">
        <f>F22</f>
        <v>4</v>
      </c>
      <c r="G23" s="15">
        <f>G21-80-80-25</f>
        <v>3631.5</v>
      </c>
      <c r="H23" s="43" t="s">
        <v>83</v>
      </c>
      <c r="I23" s="43" t="s">
        <v>83</v>
      </c>
      <c r="J23" s="136" t="s">
        <v>211</v>
      </c>
      <c r="K23" s="232"/>
      <c r="L23" s="232"/>
      <c r="M23" s="232"/>
      <c r="N23" s="232"/>
      <c r="O23" s="232"/>
      <c r="P23" s="232"/>
      <c r="Q23" s="232"/>
      <c r="R23" s="232"/>
      <c r="V23" s="2"/>
    </row>
    <row r="24" spans="2:24" ht="15" customHeight="1" x14ac:dyDescent="0.2">
      <c r="B24" s="260" t="str">
        <f>B23</f>
        <v>REFUERZO HOJA CORREDERA 98 2 MM</v>
      </c>
      <c r="C24" s="261"/>
      <c r="D24" s="43"/>
      <c r="E24" s="43"/>
      <c r="F24" s="43">
        <f>F23</f>
        <v>4</v>
      </c>
      <c r="G24" s="15">
        <f>G22-80-80-25</f>
        <v>2195</v>
      </c>
      <c r="H24" s="43" t="s">
        <v>83</v>
      </c>
      <c r="I24" s="43" t="s">
        <v>83</v>
      </c>
      <c r="J24" s="136" t="s">
        <v>212</v>
      </c>
      <c r="K24" s="232"/>
      <c r="L24" s="232"/>
      <c r="M24" s="232"/>
      <c r="N24" s="232"/>
      <c r="O24" s="232"/>
      <c r="P24" s="232"/>
      <c r="Q24" s="232"/>
      <c r="R24" s="232"/>
      <c r="V24" s="13" t="s">
        <v>24</v>
      </c>
    </row>
    <row r="25" spans="2:24" ht="15" customHeight="1" x14ac:dyDescent="0.2">
      <c r="B25" s="277" t="s">
        <v>104</v>
      </c>
      <c r="C25" s="279"/>
      <c r="D25" s="43"/>
      <c r="E25" s="43"/>
      <c r="F25" s="43">
        <f>IF(G18&gt;=2300,2,0)</f>
        <v>2</v>
      </c>
      <c r="G25" s="15">
        <f>IF(F25&gt;=1,G22-80-80-25,0)</f>
        <v>2195</v>
      </c>
      <c r="H25" s="43" t="s">
        <v>83</v>
      </c>
      <c r="I25" s="43" t="s">
        <v>83</v>
      </c>
      <c r="J25" s="136" t="s">
        <v>105</v>
      </c>
      <c r="K25" s="232"/>
      <c r="L25" s="232"/>
      <c r="M25" s="232"/>
      <c r="N25" s="232"/>
      <c r="O25" s="232"/>
      <c r="P25" s="232"/>
      <c r="Q25" s="232"/>
      <c r="R25" s="232"/>
      <c r="V25" s="13"/>
    </row>
    <row r="26" spans="2:24" ht="15" customHeight="1" x14ac:dyDescent="0.2">
      <c r="B26" s="260" t="s">
        <v>213</v>
      </c>
      <c r="C26" s="261"/>
      <c r="D26" s="43"/>
      <c r="E26" s="43"/>
      <c r="F26" s="43">
        <f>F21/2</f>
        <v>2</v>
      </c>
      <c r="G26" s="180">
        <f>G22-7</f>
        <v>2373</v>
      </c>
      <c r="H26" s="43" t="s">
        <v>83</v>
      </c>
      <c r="I26" s="43" t="s">
        <v>83</v>
      </c>
      <c r="J26" s="136" t="s">
        <v>107</v>
      </c>
      <c r="K26" s="232"/>
      <c r="L26" s="232"/>
      <c r="M26" s="232"/>
      <c r="N26" s="232"/>
      <c r="O26" s="232"/>
      <c r="P26" s="232"/>
      <c r="Q26" s="232"/>
      <c r="R26" s="232"/>
      <c r="S26" s="36" t="s">
        <v>108</v>
      </c>
      <c r="T26" s="36" t="s">
        <v>109</v>
      </c>
      <c r="V26" s="13" t="s">
        <v>31</v>
      </c>
    </row>
    <row r="27" spans="2:24" ht="15" customHeight="1" x14ac:dyDescent="0.2">
      <c r="B27" s="260" t="s">
        <v>110</v>
      </c>
      <c r="C27" s="261"/>
      <c r="D27" s="43"/>
      <c r="E27" s="43"/>
      <c r="F27" s="43">
        <f>H10*H13</f>
        <v>2</v>
      </c>
      <c r="G27" s="15">
        <f>C11-48-48-1</f>
        <v>7508</v>
      </c>
      <c r="H27" s="43" t="s">
        <v>75</v>
      </c>
      <c r="I27" s="43" t="s">
        <v>75</v>
      </c>
      <c r="J27" s="136" t="s">
        <v>111</v>
      </c>
      <c r="K27" s="232"/>
      <c r="L27" s="232"/>
      <c r="M27" s="232"/>
      <c r="N27" s="232"/>
      <c r="O27" s="232"/>
      <c r="P27" s="232"/>
      <c r="Q27" s="232"/>
      <c r="R27" s="232"/>
      <c r="S27" s="36" t="s">
        <v>112</v>
      </c>
      <c r="T27" s="36" t="s">
        <v>113</v>
      </c>
      <c r="V27" s="13" t="s">
        <v>41</v>
      </c>
    </row>
    <row r="28" spans="2:24" ht="15" customHeight="1" x14ac:dyDescent="0.2">
      <c r="B28" s="260" t="str">
        <f>VLOOKUP(C33,O3:S17,5,0)</f>
        <v>JUNQUILLO PARA TERMOPANEL 18-20 MM</v>
      </c>
      <c r="C28" s="261"/>
      <c r="D28" s="43"/>
      <c r="E28" s="43"/>
      <c r="F28" s="243">
        <f>F21</f>
        <v>4</v>
      </c>
      <c r="G28" s="15">
        <f>G21-80-80-5</f>
        <v>3651.5</v>
      </c>
      <c r="H28" s="244" t="s">
        <v>75</v>
      </c>
      <c r="I28" s="244" t="s">
        <v>75</v>
      </c>
      <c r="J28" s="136" t="s">
        <v>211</v>
      </c>
      <c r="S28" s="36" t="s">
        <v>114</v>
      </c>
      <c r="T28" s="36" t="s">
        <v>115</v>
      </c>
    </row>
    <row r="29" spans="2:24" ht="15" customHeight="1" thickBot="1" x14ac:dyDescent="0.25">
      <c r="B29" s="311" t="str">
        <f>B28</f>
        <v>JUNQUILLO PARA TERMOPANEL 18-20 MM</v>
      </c>
      <c r="C29" s="312"/>
      <c r="D29" s="137"/>
      <c r="E29" s="137"/>
      <c r="F29" s="245">
        <f>F28</f>
        <v>4</v>
      </c>
      <c r="G29" s="137">
        <f>G22-80-80-5</f>
        <v>2215</v>
      </c>
      <c r="H29" s="246" t="s">
        <v>75</v>
      </c>
      <c r="I29" s="246" t="s">
        <v>75</v>
      </c>
      <c r="J29" s="247" t="s">
        <v>212</v>
      </c>
      <c r="S29" s="36" t="s">
        <v>116</v>
      </c>
      <c r="T29" s="36" t="s">
        <v>117</v>
      </c>
    </row>
    <row r="30" spans="2:24" ht="15" customHeight="1" thickBot="1" x14ac:dyDescent="0.3">
      <c r="S30" s="17" t="s">
        <v>118</v>
      </c>
      <c r="T30" s="36" t="s">
        <v>119</v>
      </c>
    </row>
    <row r="31" spans="2:24" ht="18" customHeight="1" thickBot="1" x14ac:dyDescent="0.25">
      <c r="B31" s="117" t="str">
        <f>G11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4" ht="18" customHeight="1" x14ac:dyDescent="0.2">
      <c r="B32" s="120" t="s">
        <v>120</v>
      </c>
      <c r="C32" s="42" t="s">
        <v>121</v>
      </c>
      <c r="D32" s="42"/>
      <c r="E32" s="42"/>
      <c r="F32" s="42"/>
      <c r="G32" s="42" t="s">
        <v>122</v>
      </c>
      <c r="H32" s="42" t="s">
        <v>123</v>
      </c>
      <c r="I32" s="42" t="s">
        <v>124</v>
      </c>
      <c r="J32" s="121" t="s">
        <v>125</v>
      </c>
      <c r="S32" s="36" t="s">
        <v>126</v>
      </c>
      <c r="T32" s="36" t="s">
        <v>127</v>
      </c>
      <c r="V32" s="1"/>
      <c r="X32" s="13"/>
    </row>
    <row r="33" spans="1:24" ht="18" customHeight="1" thickBot="1" x14ac:dyDescent="0.25">
      <c r="B33" s="140" t="str">
        <f>H11</f>
        <v>19 mm   -    4 inc+10+5 inc</v>
      </c>
      <c r="C33" s="281" t="str">
        <f>VLOOKUP(M2,L3:O17,4,0)</f>
        <v>Termopanel 4 mm Incoloro + 10 mm + 5 mm Incoloro</v>
      </c>
      <c r="D33" s="282"/>
      <c r="E33" s="282"/>
      <c r="F33" s="283"/>
      <c r="G33" s="123">
        <f>G28-8</f>
        <v>3643.5</v>
      </c>
      <c r="H33" s="123">
        <f>G29-8</f>
        <v>2207</v>
      </c>
      <c r="I33" s="124">
        <f>H10*H13</f>
        <v>2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36" t="s">
        <v>129</v>
      </c>
      <c r="T33" s="36" t="s">
        <v>130</v>
      </c>
      <c r="V33" s="1"/>
      <c r="X33" s="13"/>
    </row>
    <row r="34" spans="1:24" ht="18" customHeight="1" thickBot="1" x14ac:dyDescent="0.25">
      <c r="S34" s="36" t="s">
        <v>131</v>
      </c>
      <c r="T34" s="36" t="s">
        <v>132</v>
      </c>
      <c r="V34" s="1"/>
      <c r="X34" s="13"/>
    </row>
    <row r="35" spans="1:24" ht="18" customHeight="1" thickBot="1" x14ac:dyDescent="0.3">
      <c r="B35" s="272" t="s">
        <v>66</v>
      </c>
      <c r="C35" s="273"/>
      <c r="D35" s="223"/>
      <c r="E35" s="223"/>
      <c r="F35" s="224" t="s">
        <v>67</v>
      </c>
      <c r="G35" s="207" t="s">
        <v>133</v>
      </c>
      <c r="H35" s="262" t="s">
        <v>134</v>
      </c>
      <c r="I35" s="263"/>
      <c r="J35" s="116" t="s">
        <v>124</v>
      </c>
      <c r="S35" s="17" t="s">
        <v>135</v>
      </c>
      <c r="T35" s="36" t="s">
        <v>136</v>
      </c>
    </row>
    <row r="36" spans="1:24" ht="18" customHeight="1" x14ac:dyDescent="0.2">
      <c r="B36" s="275" t="str">
        <f>IF(AND(B7&gt;=210,B7&lt;=539),'Hoja1 (2)'!A10,IF(AND(B7&gt;=540,B7&lt;=739),'Hoja1 (2)'!A11,IF(AND(B7&gt;=740,B7&lt;=939),'Hoja1 (2)'!A12,IF(AND(B7&gt;=940,B7&lt;=1139),'Hoja1 (2)'!A13,IF(AND(B7&gt;=1140,B7&lt;=1339),'Hoja1 (2)'!A14,IF(AND(B7&gt;=1340,B7&lt;=1539),'Hoja1 (2)'!A15,IF(AND(B7&gt;=1540,B7&lt;=1739),'Hoja1 (2)'!A16,IF(AND(B7&gt;=1740,B7&lt;=1939),'Hoja1 (2)'!A17,IF(AND(B7&gt;=1940,B7&lt;=2139),'Hoja1 (2)'!A18,IF(AND(B7&gt;=2140),'Hoja1 (2)'!A19))))))))))</f>
        <v>CREMONA CORREDERA E15 2000MM</v>
      </c>
      <c r="C36" s="276"/>
      <c r="D36" s="217"/>
      <c r="E36" s="177"/>
      <c r="F36" s="170">
        <f>H13*2</f>
        <v>2</v>
      </c>
      <c r="G36" s="213" t="s">
        <v>138</v>
      </c>
      <c r="H36" s="327" t="s">
        <v>139</v>
      </c>
      <c r="I36" s="327"/>
      <c r="J36" s="133">
        <f>F39*2</f>
        <v>16</v>
      </c>
      <c r="S36" s="36" t="s">
        <v>140</v>
      </c>
      <c r="T36" s="36" t="s">
        <v>141</v>
      </c>
    </row>
    <row r="37" spans="1:24" ht="18" customHeight="1" x14ac:dyDescent="0.2">
      <c r="B37" s="266">
        <f>IF(AND(H14&gt;=0,H14&lt;=60),'Hoja1 (2)'!D5,IF(AND(H14&gt;=60.1,H14&lt;=120),'Hoja1 (2)'!D6,IF(AND(H14&gt;=120.1,H14&lt;=230),'Hoja1 (2)'!D3,)))</f>
        <v>0</v>
      </c>
      <c r="C37" s="267"/>
      <c r="D37" s="41"/>
      <c r="E37" s="41"/>
      <c r="F37" s="126">
        <f>H13*4</f>
        <v>4</v>
      </c>
      <c r="G37" s="214" t="s">
        <v>142</v>
      </c>
      <c r="H37" s="270" t="s">
        <v>143</v>
      </c>
      <c r="I37" s="270"/>
      <c r="J37" s="131">
        <f>IF(B36='Hoja1 (2)'!A10,2*'Dobleriel S75 simetrica hoja 80'!F36,IF(B36='Hoja1 (2)'!A11,4*'Dobleriel S75 simetrica hoja 80'!F36,IF(B36='Hoja1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S37" s="36" t="s">
        <v>144</v>
      </c>
      <c r="T37" s="36" t="s">
        <v>145</v>
      </c>
    </row>
    <row r="38" spans="1:24" ht="18" customHeight="1" x14ac:dyDescent="0.2">
      <c r="B38" s="266" t="str">
        <f>IF(H9='Hoja1 (2)'!Q3,'Hoja1 (2)'!B3,IF(H9='Hoja1 (2)'!Q4,'Hoja1 (2)'!B4,IF(H9='Hoja1 (2)'!Q5,'Hoja1 (2)'!B4,IF(H9='Hoja1 (2)'!Q6,'Hoja1 (2)'!B5,IF(H9='Hoja1 (2)'!Q7,'Hoja1 (2)'!B5)))))</f>
        <v>MANILLA ALUMINIO VENTANA MARRON</v>
      </c>
      <c r="C38" s="267"/>
      <c r="D38" s="41"/>
      <c r="E38" s="41"/>
      <c r="F38" s="126">
        <f>F36</f>
        <v>2</v>
      </c>
      <c r="G38" s="214" t="s">
        <v>146</v>
      </c>
      <c r="H38" s="270" t="s">
        <v>147</v>
      </c>
      <c r="I38" s="270"/>
      <c r="J38" s="132">
        <f>((B7/250)*2+(C11/250)*2+(B7/250)*4+(C11/250)*2)*H13</f>
        <v>180.60000000000002</v>
      </c>
      <c r="S38" s="36" t="s">
        <v>148</v>
      </c>
      <c r="T38" s="36" t="s">
        <v>149</v>
      </c>
    </row>
    <row r="39" spans="1:24" ht="18" customHeight="1" x14ac:dyDescent="0.2">
      <c r="B39" s="285" t="s">
        <v>150</v>
      </c>
      <c r="C39" s="270"/>
      <c r="D39" s="41"/>
      <c r="E39" s="41"/>
      <c r="F39" s="126">
        <f>IF(B36='Hoja1 (2)'!A10,1*2*H13,IF(B36='Hoja1 (2)'!A11,2*2*H13,IF(B36='Hoja1 (2)'!A12,2*2*H13,IF(B36='Hoja1 (2)'!A13,2*2*H13,IF(B36='Hoja1 (2)'!A14,3*2*H13,IF(B36='Hoja1 (2)'!A15,3*2*H13,IF(B36='Hoja1 (2)'!A16,3*2*H13,IF(B36='Hoja1 (2)'!A17,4*2*H13,IF(B36='Hoja1 (2)'!A18,4*2*H13,IF(B36='Hoja1 (2)'!A19,4*2*H13))))))))))</f>
        <v>8</v>
      </c>
      <c r="G39" s="214" t="s">
        <v>151</v>
      </c>
      <c r="H39" s="270" t="s">
        <v>152</v>
      </c>
      <c r="I39" s="270"/>
      <c r="J39" s="132">
        <f>((B7*2)/500+(C11*2)/500)*H13</f>
        <v>40.24</v>
      </c>
      <c r="S39" s="36" t="s">
        <v>153</v>
      </c>
      <c r="T39" s="36" t="s">
        <v>154</v>
      </c>
    </row>
    <row r="40" spans="1:24" ht="18" customHeight="1" x14ac:dyDescent="0.25">
      <c r="B40" s="266" t="s">
        <v>155</v>
      </c>
      <c r="C40" s="267"/>
      <c r="D40" s="41"/>
      <c r="E40" s="41"/>
      <c r="F40" s="126">
        <f>F36</f>
        <v>2</v>
      </c>
      <c r="G40" s="214" t="s">
        <v>156</v>
      </c>
      <c r="H40" s="270" t="s">
        <v>157</v>
      </c>
      <c r="I40" s="270"/>
      <c r="J40" s="131">
        <f>F41*2</f>
        <v>4</v>
      </c>
      <c r="S40" s="17" t="s">
        <v>158</v>
      </c>
      <c r="T40" s="36" t="s">
        <v>159</v>
      </c>
    </row>
    <row r="41" spans="1:24" ht="18" customHeight="1" x14ac:dyDescent="0.2">
      <c r="B41" s="266" t="str">
        <f>IF(H9='Hoja1 (2)'!Q3,'Hoja1 (2)'!J7,IF(H9='Hoja1 (2)'!Q4,'Hoja1 (2)'!J8,IF(H9='Hoja1 (2)'!Q5,'Hoja1 (2)'!J8,IF(H9='Hoja1 (2)'!Q6,'Hoja1 (2)'!J9,IF(H9='Hoja1 (2)'!Q7,'Hoja1 (2)'!J9)))))</f>
        <v>TOPE ESTANCO S75 WINHOUSE CAFÉ</v>
      </c>
      <c r="C41" s="267"/>
      <c r="D41" s="41"/>
      <c r="E41" s="41"/>
      <c r="F41" s="126">
        <f>H13*2</f>
        <v>2</v>
      </c>
      <c r="G41" s="216" t="s">
        <v>160</v>
      </c>
      <c r="H41" s="271" t="s">
        <v>157</v>
      </c>
      <c r="I41" s="271"/>
      <c r="J41" s="203">
        <f>IF(B37='Hoja1 (2)'!D4,'Dobleriel S75 simetrica hoja 80'!H13*4*5,'Dobleriel S75 simetrica hoja 80'!H13*4*2)</f>
        <v>20</v>
      </c>
    </row>
    <row r="42" spans="1:24" ht="18" customHeight="1" x14ac:dyDescent="0.2">
      <c r="B42" s="266" t="str">
        <f>IF(H9='Hoja1 (2)'!Q3,'Hoja1 (2)'!J12,IF(H9='Hoja1 (2)'!Q4,'Hoja1 (2)'!J13,IF(H9='Hoja1 (2)'!Q5,'Hoja1 (2)'!J14,IF(H9='Hoja1 (2)'!Q6,'Hoja1 (2)'!J16,IF(H9='Hoja1 (2)'!Q7,'Hoja1 (2)'!J15)))))</f>
        <v>TAPA DESAGÜE MARRON</v>
      </c>
      <c r="C42" s="267"/>
      <c r="D42" s="41"/>
      <c r="E42" s="41"/>
      <c r="F42" s="126">
        <f>IF(AND(C11&gt;=0,C11&lt;=800),H13*2,IF(AND(C11&gt;=801,C11&lt;=1500),H13*3,IF(C11&gt;=1501,H13*4)))</f>
        <v>4</v>
      </c>
      <c r="G42" s="214" t="s">
        <v>161</v>
      </c>
      <c r="H42" s="288" t="s">
        <v>162</v>
      </c>
      <c r="I42" s="288"/>
      <c r="J42" s="131">
        <f>F40*2</f>
        <v>4</v>
      </c>
      <c r="S42" s="36" t="s">
        <v>163</v>
      </c>
      <c r="T42" s="36" t="s">
        <v>164</v>
      </c>
    </row>
    <row r="43" spans="1:24" ht="18" customHeight="1" x14ac:dyDescent="0.2">
      <c r="B43" s="266" t="str">
        <f>IF(H9='Hoja1 (2)'!Q3,'Hoja1 (2)'!J20,IF(H9='Hoja1 (2)'!Q4,'Hoja1 (2)'!J21,IF(H9='Hoja1 (2)'!Q5,'Hoja1 (2)'!J21,IF(H9='Hoja1 (2)'!Q6,'Hoja1 (2)'!J24,IF(H9='Hoja1 (2)'!Q7,'Hoja1 (2)'!J24)))))</f>
        <v xml:space="preserve">TAPA TORNILLO AMO 3 MARRON </v>
      </c>
      <c r="C43" s="267"/>
      <c r="D43" s="41"/>
      <c r="E43" s="41"/>
      <c r="F43" s="127">
        <f>J39</f>
        <v>40.24</v>
      </c>
      <c r="G43" s="214" t="s">
        <v>165</v>
      </c>
      <c r="H43" s="288" t="s">
        <v>166</v>
      </c>
      <c r="I43" s="288"/>
      <c r="J43" s="131">
        <f>F38*2</f>
        <v>4</v>
      </c>
      <c r="S43" s="36" t="s">
        <v>167</v>
      </c>
      <c r="T43" s="36" t="s">
        <v>168</v>
      </c>
    </row>
    <row r="44" spans="1:24" ht="18" customHeight="1" thickBot="1" x14ac:dyDescent="0.25">
      <c r="B44" s="266" t="str">
        <f>IF(H9='Hoja1 (2)'!Q3,'Hoja1 (2)'!J28,'Hoja1 (2)'!J29)</f>
        <v xml:space="preserve">TOPE CORREDERA 90º NEGRO </v>
      </c>
      <c r="C44" s="267"/>
      <c r="D44" s="41"/>
      <c r="E44" s="41"/>
      <c r="F44" s="126">
        <f>H13*2</f>
        <v>2</v>
      </c>
      <c r="G44" s="215" t="s">
        <v>169</v>
      </c>
      <c r="H44" s="257" t="s">
        <v>170</v>
      </c>
      <c r="I44" s="257"/>
      <c r="J44" s="202">
        <f>F44*1</f>
        <v>2</v>
      </c>
      <c r="S44" s="36" t="s">
        <v>171</v>
      </c>
      <c r="T44" s="36" t="s">
        <v>172</v>
      </c>
    </row>
    <row r="45" spans="1:24" ht="18" customHeight="1" x14ac:dyDescent="0.2">
      <c r="B45" s="264" t="s">
        <v>173</v>
      </c>
      <c r="C45" s="265"/>
      <c r="D45" s="41"/>
      <c r="E45" s="41"/>
      <c r="F45" s="126">
        <f>H13*4</f>
        <v>4</v>
      </c>
      <c r="S45" s="36" t="s">
        <v>174</v>
      </c>
      <c r="T45" s="36" t="s">
        <v>175</v>
      </c>
    </row>
    <row r="46" spans="1:24" ht="18" customHeight="1" x14ac:dyDescent="0.25">
      <c r="A46" s="280"/>
      <c r="B46" s="258" t="s">
        <v>176</v>
      </c>
      <c r="C46" s="259"/>
      <c r="D46" s="41" t="s">
        <v>177</v>
      </c>
      <c r="E46" s="41"/>
      <c r="F46" s="126">
        <f>(((B7*6)+(C11*8))*H13)/1000</f>
        <v>75.569999999999993</v>
      </c>
      <c r="S46" s="17" t="s">
        <v>178</v>
      </c>
      <c r="T46" s="36" t="s">
        <v>179</v>
      </c>
    </row>
    <row r="47" spans="1:24" ht="18" customHeight="1" x14ac:dyDescent="0.2">
      <c r="A47" s="280"/>
      <c r="B47" s="266" t="str">
        <f>IF(H9='Hoja1 (2)'!Q3,'Hoja1 (2)'!K4,IF(H9='Hoja1 (2)'!Q4,'Hoja1 (2)'!K5,IF(H9='Hoja1 (2)'!Q5,'Hoja1 (2)'!K6,IF(H9='Hoja1 (2)'!Q6,'Hoja1 (2)'!K7,IF(H9='Hoja1 (2)'!Q7,'Hoja1 (2)'!K3)))))</f>
        <v>SILICONA NEUTRA 300gr. MARRON</v>
      </c>
      <c r="C47" s="267"/>
      <c r="D47" s="41" t="s">
        <v>137</v>
      </c>
      <c r="E47" s="41"/>
      <c r="F47" s="127">
        <f>((((B7*C11)/10000)*2)*0.7)/300*H13</f>
        <v>8.7127949999999998</v>
      </c>
      <c r="S47" s="36" t="s">
        <v>180</v>
      </c>
      <c r="T47" s="36" t="s">
        <v>181</v>
      </c>
    </row>
    <row r="48" spans="1:24" ht="18" customHeight="1" x14ac:dyDescent="0.2">
      <c r="A48" s="280"/>
      <c r="B48" s="268" t="s">
        <v>182</v>
      </c>
      <c r="C48" s="269"/>
      <c r="D48" s="41" t="s">
        <v>137</v>
      </c>
      <c r="E48" s="41"/>
      <c r="F48" s="126">
        <f>H13*12</f>
        <v>12</v>
      </c>
      <c r="S48" s="36" t="s">
        <v>183</v>
      </c>
      <c r="T48" s="36" t="s">
        <v>184</v>
      </c>
    </row>
    <row r="49" spans="1:20" ht="20.5" customHeight="1" x14ac:dyDescent="0.2">
      <c r="A49" s="280"/>
      <c r="B49" s="286" t="s">
        <v>185</v>
      </c>
      <c r="C49" s="287"/>
      <c r="D49" s="41" t="s">
        <v>137</v>
      </c>
      <c r="E49" s="41"/>
      <c r="F49" s="126">
        <f>F48*1</f>
        <v>12</v>
      </c>
      <c r="S49" s="36" t="s">
        <v>186</v>
      </c>
      <c r="T49" s="36" t="s">
        <v>187</v>
      </c>
    </row>
    <row r="50" spans="1:20" ht="16.399999999999999" customHeight="1" x14ac:dyDescent="0.2">
      <c r="A50" s="280"/>
      <c r="B50" s="258" t="s">
        <v>188</v>
      </c>
      <c r="C50" s="259"/>
      <c r="D50" s="41" t="s">
        <v>137</v>
      </c>
      <c r="E50" s="41"/>
      <c r="F50" s="126">
        <f>1*F48</f>
        <v>12</v>
      </c>
      <c r="S50" s="36" t="s">
        <v>189</v>
      </c>
      <c r="T50" s="36" t="s">
        <v>190</v>
      </c>
    </row>
    <row r="51" spans="1:20" ht="16.75" customHeight="1" x14ac:dyDescent="0.25">
      <c r="A51" s="280"/>
      <c r="B51" s="258" t="s">
        <v>191</v>
      </c>
      <c r="C51" s="259"/>
      <c r="D51" s="41" t="s">
        <v>137</v>
      </c>
      <c r="E51" s="41"/>
      <c r="F51" s="126">
        <f>1*F48</f>
        <v>12</v>
      </c>
      <c r="S51" s="17" t="s">
        <v>192</v>
      </c>
      <c r="T51" s="36" t="s">
        <v>193</v>
      </c>
    </row>
    <row r="52" spans="1:20" ht="18" customHeight="1" x14ac:dyDescent="0.2">
      <c r="B52" s="266" t="b">
        <f>IF(B37='Hoja1 (2)'!D5,'Dobleriel S75 simetrica hoja 98'!C54,IF('Dobleriel S75 simetrica hoja 98'!B37:C37='Hoja1 (2)'!D6,'Dobleriel S75 simetrica hoja 98'!C54,IF('Dobleriel S75 simetrica hoja 98'!B37:C37='Hoja1 (2)'!D3,'Dobleriel S75 simetrica hoja 98'!C55)))</f>
        <v>0</v>
      </c>
      <c r="C52" s="267"/>
      <c r="D52" s="41" t="s">
        <v>137</v>
      </c>
      <c r="E52" s="41"/>
      <c r="F52" s="126">
        <f>4*H13</f>
        <v>4</v>
      </c>
      <c r="S52" s="36" t="s">
        <v>194</v>
      </c>
      <c r="T52" s="36" t="s">
        <v>195</v>
      </c>
    </row>
    <row r="53" spans="1:20" ht="17.5" customHeight="1" thickBot="1" x14ac:dyDescent="0.25">
      <c r="B53" s="306" t="s">
        <v>202</v>
      </c>
      <c r="C53" s="307"/>
      <c r="D53" s="129" t="s">
        <v>137</v>
      </c>
      <c r="E53" s="129"/>
      <c r="F53" s="130">
        <f>2</f>
        <v>2</v>
      </c>
      <c r="S53" s="36" t="s">
        <v>197</v>
      </c>
      <c r="T53" s="36" t="s">
        <v>198</v>
      </c>
    </row>
    <row r="54" spans="1:20" ht="16.399999999999999" hidden="1" customHeight="1" x14ac:dyDescent="0.2">
      <c r="C54" s="1" t="s">
        <v>214</v>
      </c>
      <c r="S54" s="36" t="s">
        <v>200</v>
      </c>
      <c r="T54" s="36" t="s">
        <v>201</v>
      </c>
    </row>
    <row r="55" spans="1:20" ht="15.65" hidden="1" customHeight="1" x14ac:dyDescent="0.2">
      <c r="C55" s="1" t="s">
        <v>215</v>
      </c>
      <c r="S55" s="36" t="s">
        <v>203</v>
      </c>
      <c r="T55" s="36" t="s">
        <v>204</v>
      </c>
    </row>
    <row r="56" spans="1:20" ht="15.65" customHeight="1" x14ac:dyDescent="0.25">
      <c r="S56" s="17" t="s">
        <v>205</v>
      </c>
      <c r="T56" s="36" t="s">
        <v>206</v>
      </c>
    </row>
    <row r="57" spans="1:20" ht="16.399999999999999" customHeight="1" x14ac:dyDescent="0.2"/>
    <row r="58" spans="1:20" ht="14.5" x14ac:dyDescent="0.35">
      <c r="T58"/>
    </row>
    <row r="59" spans="1:20" ht="130.75" customHeight="1" x14ac:dyDescent="0.35">
      <c r="T59"/>
    </row>
    <row r="60" spans="1:20" ht="128.5" customHeight="1" x14ac:dyDescent="0.35">
      <c r="T60"/>
    </row>
  </sheetData>
  <sheetProtection algorithmName="SHA-512" hashValue="jLCbXDpS//3E6YhUzFGw+htJs10LvSKn1w2BQyCTxdIFhRShKPOGjPaeyGP/8mkEsS9l1t3sC0WE42864c4wDg==" saltValue="BvQCmRq7szyfIJ1E42bqPQ==" spinCount="100000" sheet="1" objects="1" scenarios="1"/>
  <dataConsolidate/>
  <mergeCells count="54">
    <mergeCell ref="B53:C53"/>
    <mergeCell ref="B47:C47"/>
    <mergeCell ref="B48:C48"/>
    <mergeCell ref="B49:C49"/>
    <mergeCell ref="B50:C50"/>
    <mergeCell ref="B52:C52"/>
    <mergeCell ref="H44:I44"/>
    <mergeCell ref="H11:I11"/>
    <mergeCell ref="H16:I16"/>
    <mergeCell ref="C4:C10"/>
    <mergeCell ref="G5:J5"/>
    <mergeCell ref="H7:I7"/>
    <mergeCell ref="H8:I8"/>
    <mergeCell ref="H9:I9"/>
    <mergeCell ref="H10:I10"/>
    <mergeCell ref="B16:C16"/>
    <mergeCell ref="H2:J4"/>
    <mergeCell ref="H39:I39"/>
    <mergeCell ref="H40:I40"/>
    <mergeCell ref="H41:I41"/>
    <mergeCell ref="H42:I42"/>
    <mergeCell ref="H43:I43"/>
    <mergeCell ref="B28:C28"/>
    <mergeCell ref="B29:C29"/>
    <mergeCell ref="B35:C35"/>
    <mergeCell ref="B36:C36"/>
    <mergeCell ref="B37:C37"/>
    <mergeCell ref="B22:C22"/>
    <mergeCell ref="B23:C23"/>
    <mergeCell ref="B24:C24"/>
    <mergeCell ref="B26:C26"/>
    <mergeCell ref="B27:C27"/>
    <mergeCell ref="B25:C25"/>
    <mergeCell ref="B17:C17"/>
    <mergeCell ref="B18:C18"/>
    <mergeCell ref="B19:C19"/>
    <mergeCell ref="B20:C20"/>
    <mergeCell ref="B21:C21"/>
    <mergeCell ref="A46:A51"/>
    <mergeCell ref="C33:F33"/>
    <mergeCell ref="H36:I36"/>
    <mergeCell ref="H37:I37"/>
    <mergeCell ref="H38:I38"/>
    <mergeCell ref="B38:C38"/>
    <mergeCell ref="B39:C39"/>
    <mergeCell ref="B40:C40"/>
    <mergeCell ref="B41:C41"/>
    <mergeCell ref="B42:C42"/>
    <mergeCell ref="B43:C43"/>
    <mergeCell ref="B44:C44"/>
    <mergeCell ref="B45:C45"/>
    <mergeCell ref="B51:C51"/>
    <mergeCell ref="H35:I35"/>
    <mergeCell ref="B46:C46"/>
  </mergeCells>
  <conditionalFormatting sqref="S26:S29">
    <cfRule type="duplicateValues" dxfId="160" priority="29"/>
    <cfRule type="duplicateValues" dxfId="159" priority="31"/>
    <cfRule type="duplicateValues" dxfId="158" priority="32"/>
  </conditionalFormatting>
  <conditionalFormatting sqref="S32:S34 S36:S39">
    <cfRule type="duplicateValues" dxfId="157" priority="26"/>
  </conditionalFormatting>
  <conditionalFormatting sqref="S32:S34">
    <cfRule type="duplicateValues" dxfId="156" priority="44"/>
  </conditionalFormatting>
  <conditionalFormatting sqref="S42:S45 S47:S50 S52:S55">
    <cfRule type="duplicateValues" dxfId="155" priority="20"/>
  </conditionalFormatting>
  <conditionalFormatting sqref="S42:S45">
    <cfRule type="duplicateValues" dxfId="154" priority="17"/>
    <cfRule type="duplicateValues" dxfId="153" priority="19"/>
  </conditionalFormatting>
  <conditionalFormatting sqref="S59:S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{79887E34-2674-42B7-BC91-C1384C1BBD8D}</x14:id>
        </ext>
      </extLst>
    </cfRule>
  </conditionalFormatting>
  <conditionalFormatting sqref="S59:T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{2035E6FB-2A93-4008-8369-7547121F0664}</x14:id>
        </ext>
      </extLst>
    </cfRule>
  </conditionalFormatting>
  <conditionalFormatting sqref="T26:T30">
    <cfRule type="duplicateValues" dxfId="152" priority="28"/>
    <cfRule type="duplicateValues" dxfId="151" priority="30"/>
    <cfRule type="duplicateValues" dxfId="150" priority="33"/>
  </conditionalFormatting>
  <conditionalFormatting sqref="T32:T40">
    <cfRule type="duplicateValues" dxfId="149" priority="42"/>
  </conditionalFormatting>
  <conditionalFormatting sqref="T42:T56">
    <cfRule type="duplicateValues" dxfId="148" priority="16"/>
    <cfRule type="duplicateValues" dxfId="147" priority="18"/>
    <cfRule type="duplicateValues" dxfId="146" priority="21"/>
  </conditionalFormatting>
  <conditionalFormatting sqref="T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{C15741ED-B0AA-46EF-8C51-AD77C648191A}</x14:id>
        </ext>
      </extLst>
    </cfRule>
  </conditionalFormatting>
  <conditionalFormatting sqref="W18:W21">
    <cfRule type="duplicateValues" dxfId="145" priority="11"/>
    <cfRule type="duplicateValues" dxfId="144" priority="13"/>
    <cfRule type="duplicateValues" dxfId="143" priority="14"/>
  </conditionalFormatting>
  <conditionalFormatting sqref="X18:X22">
    <cfRule type="duplicateValues" dxfId="142" priority="10"/>
    <cfRule type="duplicateValues" dxfId="141" priority="12"/>
    <cfRule type="duplicateValues" dxfId="140" priority="15"/>
  </conditionalFormatting>
  <dataValidations count="1">
    <dataValidation type="list" allowBlank="1" showInputMessage="1" showErrorMessage="1" sqref="H11:I11" xr:uid="{00000000-0002-0000-0200-000000000000}">
      <formula1>$L$3:$L$17</formula1>
    </dataValidation>
  </dataValidations>
  <pageMargins left="0.25" right="0.25" top="0.75" bottom="0.75" header="0.3" footer="0.3"/>
  <pageSetup orientation="landscape" r:id="rId1"/>
  <ignoredErrors>
    <ignoredError sqref="F21" 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887E34-2674-42B7-BC91-C1384C1BBD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S59:S60</xm:sqref>
        </x14:conditionalFormatting>
        <x14:conditionalFormatting xmlns:xm="http://schemas.microsoft.com/office/excel/2006/main">
          <x14:cfRule type="dataBar" id="{2035E6FB-2A93-4008-8369-7547121F0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S59:T60</xm:sqref>
        </x14:conditionalFormatting>
        <x14:conditionalFormatting xmlns:xm="http://schemas.microsoft.com/office/excel/2006/main">
          <x14:cfRule type="dataBar" id="{C15741ED-B0AA-46EF-8C51-AD77C64819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'Hoja1 (2)'!$Q$3:$Q$7</xm:f>
          </x14:formula1>
          <xm:sqref>H9:I9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0"/>
  <sheetViews>
    <sheetView zoomScale="81" zoomScaleNormal="100" workbookViewId="0">
      <selection activeCell="G59" sqref="G58:G59"/>
    </sheetView>
  </sheetViews>
  <sheetFormatPr baseColWidth="10" defaultColWidth="11.453125" defaultRowHeight="10" x14ac:dyDescent="0.2"/>
  <cols>
    <col min="1" max="1" width="4.1796875" style="2" customWidth="1"/>
    <col min="2" max="2" width="18.81640625" style="1" bestFit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4.54296875" style="1" customWidth="1"/>
    <col min="8" max="8" width="9.1796875" style="1" customWidth="1"/>
    <col min="9" max="9" width="10.54296875" style="1" customWidth="1"/>
    <col min="10" max="10" width="17.453125" style="1" bestFit="1" customWidth="1"/>
    <col min="11" max="18" width="17.54296875" style="2" hidden="1" customWidth="1"/>
    <col min="19" max="19" width="12" style="2" hidden="1" customWidth="1"/>
    <col min="20" max="20" width="41.81640625" style="2" hidden="1" customWidth="1"/>
    <col min="21" max="21" width="26.81640625" style="2" hidden="1" customWidth="1"/>
    <col min="22" max="22" width="32.54296875" style="5" hidden="1" customWidth="1"/>
    <col min="23" max="23" width="22.453125" style="2" hidden="1" customWidth="1"/>
    <col min="24" max="24" width="26.81640625" style="2" hidden="1" customWidth="1"/>
    <col min="25" max="26" width="11.453125" style="2" hidden="1" customWidth="1"/>
    <col min="27" max="27" width="37.1796875" style="2" customWidth="1"/>
    <col min="28" max="30" width="11.453125" style="2" customWidth="1"/>
    <col min="31" max="16384" width="11.453125" style="2"/>
  </cols>
  <sheetData>
    <row r="1" spans="2:26" ht="21" customHeight="1" thickBot="1" x14ac:dyDescent="0.25"/>
    <row r="2" spans="2:26" ht="39" customHeight="1" thickBot="1" x14ac:dyDescent="0.25">
      <c r="B2" s="91"/>
      <c r="C2" s="92"/>
      <c r="D2" s="93" t="s">
        <v>2</v>
      </c>
      <c r="E2" s="92"/>
      <c r="F2" s="92"/>
      <c r="G2" s="94"/>
      <c r="H2" s="289"/>
      <c r="I2" s="289"/>
      <c r="J2" s="290"/>
      <c r="M2" s="50" t="str">
        <f>H11</f>
        <v>22 mm   -    6 inc+10+6 lam</v>
      </c>
    </row>
    <row r="3" spans="2:26" ht="22" x14ac:dyDescent="0.2">
      <c r="B3" s="95"/>
      <c r="C3" s="4"/>
      <c r="D3" s="2"/>
      <c r="H3" s="291"/>
      <c r="I3" s="291"/>
      <c r="J3" s="292"/>
      <c r="K3" s="2">
        <v>3.7</v>
      </c>
      <c r="L3" s="18" t="str">
        <f>N3&amp;" -    "&amp;M3&amp;" "&amp;"mm"</f>
        <v>Semilla -    3.7 mm</v>
      </c>
      <c r="M3" s="1" t="s">
        <v>3</v>
      </c>
      <c r="N3" s="1" t="s">
        <v>4</v>
      </c>
      <c r="O3" s="2" t="s">
        <v>5</v>
      </c>
      <c r="Q3" s="1" t="s">
        <v>6</v>
      </c>
      <c r="R3" s="1"/>
      <c r="S3" s="18" t="s">
        <v>7</v>
      </c>
    </row>
    <row r="4" spans="2:26" ht="15.65" customHeight="1" thickBot="1" x14ac:dyDescent="0.25">
      <c r="B4" s="95"/>
      <c r="C4" s="298"/>
      <c r="H4" s="293"/>
      <c r="I4" s="293"/>
      <c r="J4" s="294"/>
      <c r="K4" s="2">
        <v>4</v>
      </c>
      <c r="L4" s="18" t="str">
        <f>M4&amp;" "&amp;"mm"&amp;"     -    "&amp;N4</f>
        <v>4 mm     -    Incoloro</v>
      </c>
      <c r="M4" s="1">
        <v>4</v>
      </c>
      <c r="N4" s="1" t="s">
        <v>8</v>
      </c>
      <c r="O4" s="2" t="s">
        <v>9</v>
      </c>
      <c r="Q4" s="1" t="s">
        <v>6</v>
      </c>
      <c r="R4" s="1"/>
      <c r="S4" s="18" t="s">
        <v>10</v>
      </c>
    </row>
    <row r="5" spans="2:26" ht="21" customHeight="1" thickBot="1" x14ac:dyDescent="0.25">
      <c r="B5" s="95"/>
      <c r="C5" s="298"/>
      <c r="G5" s="300" t="s">
        <v>13</v>
      </c>
      <c r="H5" s="301"/>
      <c r="I5" s="301"/>
      <c r="J5" s="302"/>
      <c r="K5" s="2">
        <v>4</v>
      </c>
      <c r="L5" s="18" t="str">
        <f>M5&amp;" "&amp;"mm"&amp;"     -    "&amp;N5</f>
        <v>4 mm     -    Saten</v>
      </c>
      <c r="M5" s="1">
        <v>4</v>
      </c>
      <c r="N5" s="1" t="s">
        <v>11</v>
      </c>
      <c r="O5" s="2" t="s">
        <v>12</v>
      </c>
      <c r="Q5" s="1" t="s">
        <v>6</v>
      </c>
      <c r="R5" s="1"/>
      <c r="S5" s="18" t="s">
        <v>10</v>
      </c>
      <c r="V5" s="12" t="s">
        <v>15</v>
      </c>
      <c r="W5" s="2" t="s">
        <v>16</v>
      </c>
      <c r="X5" s="2" t="s">
        <v>17</v>
      </c>
      <c r="Y5" s="2" t="s">
        <v>18</v>
      </c>
      <c r="Z5" s="2" t="s">
        <v>19</v>
      </c>
    </row>
    <row r="6" spans="2:26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2">
        <v>5</v>
      </c>
      <c r="L6" s="18" t="str">
        <f>M6&amp;" "&amp;"mm"&amp;"     -    "&amp;N6</f>
        <v>5 mm     -    Incoloro</v>
      </c>
      <c r="M6" s="1">
        <v>5</v>
      </c>
      <c r="N6" s="1" t="s">
        <v>8</v>
      </c>
      <c r="O6" s="2" t="s">
        <v>14</v>
      </c>
      <c r="Q6" s="1" t="s">
        <v>6</v>
      </c>
      <c r="R6" s="1"/>
      <c r="S6" s="18" t="s">
        <v>10</v>
      </c>
      <c r="T6" s="2" t="s">
        <v>23</v>
      </c>
      <c r="U6" s="13" t="s">
        <v>24</v>
      </c>
      <c r="V6" s="12" t="s">
        <v>25</v>
      </c>
      <c r="W6" s="2" t="s">
        <v>26</v>
      </c>
      <c r="X6" s="2">
        <v>80</v>
      </c>
      <c r="Y6" s="2">
        <v>62</v>
      </c>
      <c r="Z6" s="2">
        <v>2</v>
      </c>
    </row>
    <row r="7" spans="2:26" ht="15" customHeight="1" x14ac:dyDescent="0.2">
      <c r="B7" s="95"/>
      <c r="C7" s="298"/>
      <c r="D7" s="96"/>
      <c r="E7" s="96"/>
      <c r="G7" s="51" t="s">
        <v>27</v>
      </c>
      <c r="H7" s="303" t="str">
        <f>C12&amp;"  "&amp;"mm"&amp;" "&amp;"x"&amp;" "&amp;B8&amp;" "&amp;"mm"</f>
        <v>5297  mm x 2358 mm</v>
      </c>
      <c r="I7" s="303"/>
      <c r="J7" s="99"/>
      <c r="K7" s="2">
        <v>6</v>
      </c>
      <c r="L7" s="18" t="str">
        <f>M7&amp;" "&amp;"mm"&amp;"     -    "&amp;N7</f>
        <v>6 mm     -    Incoloro</v>
      </c>
      <c r="M7" s="1">
        <v>6</v>
      </c>
      <c r="N7" s="1" t="s">
        <v>8</v>
      </c>
      <c r="O7" s="2" t="s">
        <v>22</v>
      </c>
      <c r="Q7" s="1" t="s">
        <v>6</v>
      </c>
      <c r="R7" s="1"/>
      <c r="S7" s="18" t="s">
        <v>10</v>
      </c>
      <c r="T7" s="2" t="s">
        <v>30</v>
      </c>
      <c r="U7" s="13" t="s">
        <v>31</v>
      </c>
      <c r="V7" s="12" t="s">
        <v>32</v>
      </c>
      <c r="W7" s="2" t="s">
        <v>33</v>
      </c>
      <c r="X7" s="2">
        <v>98</v>
      </c>
      <c r="Y7" s="2">
        <v>80</v>
      </c>
      <c r="Z7" s="2">
        <v>3</v>
      </c>
    </row>
    <row r="8" spans="2:26" ht="21.65" customHeight="1" x14ac:dyDescent="0.2">
      <c r="B8" s="98">
        <v>2358</v>
      </c>
      <c r="C8" s="298"/>
      <c r="D8" s="96"/>
      <c r="E8" s="96"/>
      <c r="F8" s="2"/>
      <c r="G8" s="51" t="s">
        <v>34</v>
      </c>
      <c r="H8" s="304" t="s">
        <v>35</v>
      </c>
      <c r="I8" s="304"/>
      <c r="J8" s="99"/>
      <c r="K8" s="2">
        <v>6</v>
      </c>
      <c r="L8" s="18" t="str">
        <f>M8&amp;" "&amp;"mm"&amp;"     -    "&amp;N8</f>
        <v>6 mm     -    Laminado</v>
      </c>
      <c r="M8" s="1">
        <v>6</v>
      </c>
      <c r="N8" s="1" t="s">
        <v>28</v>
      </c>
      <c r="O8" s="2" t="s">
        <v>29</v>
      </c>
      <c r="Q8" s="1" t="s">
        <v>6</v>
      </c>
      <c r="R8" s="1"/>
      <c r="S8" s="18" t="s">
        <v>10</v>
      </c>
      <c r="T8" s="2" t="s">
        <v>40</v>
      </c>
      <c r="U8" s="13" t="s">
        <v>41</v>
      </c>
      <c r="V8" s="12" t="s">
        <v>42</v>
      </c>
    </row>
    <row r="9" spans="2:26" ht="21" customHeight="1" x14ac:dyDescent="0.2">
      <c r="B9" s="95"/>
      <c r="C9" s="298"/>
      <c r="D9" s="96"/>
      <c r="E9" s="96"/>
      <c r="G9" s="51" t="s">
        <v>43</v>
      </c>
      <c r="H9" s="305" t="s">
        <v>44</v>
      </c>
      <c r="I9" s="305"/>
      <c r="J9" s="100"/>
      <c r="K9" s="2">
        <v>8</v>
      </c>
      <c r="L9" s="18" t="str">
        <f t="shared" ref="L9:L16" si="0">M9&amp;" "&amp;"mm"&amp;"   -    "&amp;N9</f>
        <v>18 mm   -    4 inc+10+4 inc</v>
      </c>
      <c r="M9" s="1">
        <v>18</v>
      </c>
      <c r="N9" s="1" t="s">
        <v>36</v>
      </c>
      <c r="O9" s="2" t="s">
        <v>37</v>
      </c>
      <c r="Q9" s="1" t="s">
        <v>38</v>
      </c>
      <c r="R9" s="1"/>
      <c r="S9" s="18" t="s">
        <v>39</v>
      </c>
      <c r="V9" s="12" t="s">
        <v>44</v>
      </c>
    </row>
    <row r="10" spans="2:26" ht="21" customHeight="1" x14ac:dyDescent="0.2">
      <c r="B10" s="95"/>
      <c r="C10" s="298"/>
      <c r="D10" s="96"/>
      <c r="E10" s="96"/>
      <c r="G10" s="51" t="s">
        <v>47</v>
      </c>
      <c r="H10" s="304">
        <v>3</v>
      </c>
      <c r="I10" s="304"/>
      <c r="J10" s="99"/>
      <c r="K10" s="2">
        <v>8</v>
      </c>
      <c r="L10" s="18" t="str">
        <f t="shared" si="0"/>
        <v>18 mm   -    4 inc+10+4 sat</v>
      </c>
      <c r="M10" s="1">
        <v>18</v>
      </c>
      <c r="N10" s="1" t="s">
        <v>45</v>
      </c>
      <c r="O10" s="2" t="s">
        <v>46</v>
      </c>
      <c r="Q10" s="1" t="s">
        <v>38</v>
      </c>
      <c r="R10" s="1"/>
      <c r="S10" s="18" t="s">
        <v>39</v>
      </c>
      <c r="V10" s="1" t="s">
        <v>50</v>
      </c>
    </row>
    <row r="11" spans="2:26" ht="21" customHeight="1" x14ac:dyDescent="0.2">
      <c r="B11" s="101"/>
      <c r="C11" s="299"/>
      <c r="D11" s="96"/>
      <c r="E11" s="96"/>
      <c r="G11" s="51" t="s">
        <v>51</v>
      </c>
      <c r="H11" s="295" t="s">
        <v>71</v>
      </c>
      <c r="I11" s="295"/>
      <c r="J11" s="102"/>
      <c r="K11" s="2">
        <v>10</v>
      </c>
      <c r="L11" s="18" t="str">
        <f t="shared" si="0"/>
        <v>18 mm   -    5 inc+8+5 inc</v>
      </c>
      <c r="M11" s="1">
        <v>18</v>
      </c>
      <c r="N11" s="1" t="s">
        <v>48</v>
      </c>
      <c r="O11" s="2" t="s">
        <v>49</v>
      </c>
      <c r="Q11" s="1" t="s">
        <v>38</v>
      </c>
      <c r="R11" s="1"/>
      <c r="S11" s="18" t="s">
        <v>39</v>
      </c>
    </row>
    <row r="12" spans="2:26" ht="21" customHeight="1" x14ac:dyDescent="0.2">
      <c r="B12" s="95"/>
      <c r="C12" s="37">
        <v>5297</v>
      </c>
      <c r="G12" s="51" t="s">
        <v>55</v>
      </c>
      <c r="H12" s="7">
        <f>C12*B8/1000000</f>
        <v>12.490326</v>
      </c>
      <c r="I12" s="8" t="s">
        <v>56</v>
      </c>
      <c r="J12" s="103"/>
      <c r="K12" s="2">
        <v>9</v>
      </c>
      <c r="L12" s="18" t="str">
        <f t="shared" si="0"/>
        <v>19 mm   -    4 inc+10+5 inc</v>
      </c>
      <c r="M12" s="1">
        <v>19</v>
      </c>
      <c r="N12" s="1" t="s">
        <v>53</v>
      </c>
      <c r="O12" s="2" t="s">
        <v>54</v>
      </c>
      <c r="Q12" s="1" t="s">
        <v>38</v>
      </c>
      <c r="R12" s="1"/>
      <c r="S12" s="18" t="s">
        <v>39</v>
      </c>
      <c r="V12" s="2"/>
    </row>
    <row r="13" spans="2:26" ht="21" customHeight="1" x14ac:dyDescent="0.2">
      <c r="B13" s="95"/>
      <c r="C13" s="104"/>
      <c r="E13" s="105"/>
      <c r="G13" s="52" t="s">
        <v>59</v>
      </c>
      <c r="H13" s="53">
        <v>1</v>
      </c>
      <c r="I13" s="8" t="s">
        <v>60</v>
      </c>
      <c r="J13" s="102"/>
      <c r="K13" s="27">
        <v>11</v>
      </c>
      <c r="L13" s="18" t="str">
        <f t="shared" si="0"/>
        <v>19 mm   -    5 inc+8+6 inc</v>
      </c>
      <c r="M13" s="1">
        <v>19</v>
      </c>
      <c r="N13" s="1" t="s">
        <v>57</v>
      </c>
      <c r="O13" s="2" t="s">
        <v>58</v>
      </c>
      <c r="P13" s="1"/>
      <c r="Q13" s="1" t="s">
        <v>38</v>
      </c>
      <c r="R13" s="1"/>
      <c r="S13" s="18" t="s">
        <v>39</v>
      </c>
      <c r="V13" s="2"/>
    </row>
    <row r="14" spans="2:26" s="3" customFormat="1" ht="21" customHeight="1" thickBot="1" x14ac:dyDescent="0.25">
      <c r="B14" s="106"/>
      <c r="C14" s="107"/>
      <c r="D14" s="107"/>
      <c r="E14" s="107"/>
      <c r="F14" s="107"/>
      <c r="G14" s="108" t="s">
        <v>208</v>
      </c>
      <c r="H14" s="109">
        <f>IF(H11=L3,((H12/3)*K3*2.54*1.3),IF(H11=L4,((H12/3)*K4*2.54*1.3),IF(H11=L5,((H12/3)*K5*2.54*1.3),IF(H11=L6,((H12/3)*K6*2.54*1.3),IF(H11=L7,((H12/3)*K7*2.54*1.3),IF(H11=L8,((H12/3)*K8*2.54*1.3),IF(H11=L9,((H12/3)*K9*2.54*1.3),IF(H11=L10,((H12/3)*K10*2.54*1.3),IF(H11=L11,((H12/3)*K11*2.54*1.3),IF(H11=L12,((H12/3)*K12*2.54*1.3),IF(H11=L13,((H12/3)*K13*2.54*1.3),IF(H11=L14,((H12/2)*K14*2.54*1.3),IF(H11=L16,((H12/3)*K16*2.54*1.3),IF(H11=L17,((H12/3)*K17*2.54*1.3)))))))))))))))</f>
        <v>164.97222580800002</v>
      </c>
      <c r="I14" s="107"/>
      <c r="J14" s="110"/>
      <c r="K14" s="2">
        <v>11</v>
      </c>
      <c r="L14" s="18" t="str">
        <f t="shared" si="0"/>
        <v>19 mm   -    5 inc+8+6 lam</v>
      </c>
      <c r="M14" s="1">
        <v>19</v>
      </c>
      <c r="N14" s="1" t="s">
        <v>61</v>
      </c>
      <c r="O14" s="2" t="s">
        <v>62</v>
      </c>
      <c r="P14" s="2"/>
      <c r="Q14" s="1" t="s">
        <v>38</v>
      </c>
      <c r="R14" s="1"/>
      <c r="S14" s="18" t="s">
        <v>39</v>
      </c>
      <c r="T14" s="2"/>
      <c r="U14" s="2"/>
      <c r="V14" s="2"/>
      <c r="W14" s="2"/>
      <c r="X14" s="2"/>
      <c r="Y14" s="2"/>
    </row>
    <row r="15" spans="2:26" s="3" customFormat="1" ht="21" customHeight="1" thickBot="1" x14ac:dyDescent="0.25">
      <c r="G15" s="89"/>
      <c r="H15" s="90"/>
      <c r="K15" s="2"/>
      <c r="L15" s="18"/>
      <c r="M15" s="1"/>
      <c r="N15" s="1"/>
      <c r="O15" s="2"/>
      <c r="P15" s="2"/>
      <c r="Q15" s="1"/>
      <c r="R15" s="1"/>
      <c r="S15" s="18"/>
      <c r="T15" s="2"/>
      <c r="U15" s="2"/>
      <c r="V15" s="2"/>
      <c r="W15" s="2"/>
      <c r="X15" s="2"/>
      <c r="Y15" s="2"/>
    </row>
    <row r="16" spans="2:26" ht="15" customHeight="1" thickBot="1" x14ac:dyDescent="0.25">
      <c r="B16" s="296" t="s">
        <v>66</v>
      </c>
      <c r="C16" s="310"/>
      <c r="D16" s="297"/>
      <c r="E16" s="138"/>
      <c r="F16" s="116" t="s">
        <v>67</v>
      </c>
      <c r="G16" s="116" t="s">
        <v>68</v>
      </c>
      <c r="H16" s="296" t="s">
        <v>69</v>
      </c>
      <c r="I16" s="297"/>
      <c r="J16" s="116" t="s">
        <v>70</v>
      </c>
      <c r="K16" s="2">
        <v>10</v>
      </c>
      <c r="L16" s="18" t="str">
        <f t="shared" si="0"/>
        <v>20 mm   -    4 inc+10+6 lam</v>
      </c>
      <c r="M16" s="1">
        <v>20</v>
      </c>
      <c r="N16" s="1" t="s">
        <v>64</v>
      </c>
      <c r="O16" s="2" t="s">
        <v>65</v>
      </c>
      <c r="Q16" s="1" t="s">
        <v>38</v>
      </c>
      <c r="R16" s="1"/>
      <c r="S16" s="18" t="s">
        <v>39</v>
      </c>
      <c r="V16" s="2"/>
    </row>
    <row r="17" spans="2:24" ht="15" customHeight="1" x14ac:dyDescent="0.2">
      <c r="B17" s="308" t="s">
        <v>216</v>
      </c>
      <c r="C17" s="309"/>
      <c r="D17" s="309"/>
      <c r="E17" s="43"/>
      <c r="F17" s="186">
        <f>H13*2</f>
        <v>2</v>
      </c>
      <c r="G17" s="241">
        <f>C12+5</f>
        <v>5302</v>
      </c>
      <c r="H17" s="186" t="s">
        <v>75</v>
      </c>
      <c r="I17" s="186" t="s">
        <v>75</v>
      </c>
      <c r="J17" s="248" t="s">
        <v>76</v>
      </c>
      <c r="K17" s="2">
        <v>12</v>
      </c>
      <c r="L17" s="2" t="s">
        <v>71</v>
      </c>
      <c r="M17" s="12">
        <v>22</v>
      </c>
      <c r="N17" s="1" t="s">
        <v>72</v>
      </c>
      <c r="O17" s="2" t="s">
        <v>73</v>
      </c>
      <c r="S17" s="18" t="s">
        <v>74</v>
      </c>
      <c r="U17" s="12" t="s">
        <v>15</v>
      </c>
      <c r="V17" s="2"/>
    </row>
    <row r="18" spans="2:24" ht="15" customHeight="1" x14ac:dyDescent="0.2">
      <c r="B18" s="308" t="s">
        <v>216</v>
      </c>
      <c r="C18" s="309"/>
      <c r="D18" s="309"/>
      <c r="E18" s="43"/>
      <c r="F18" s="43">
        <f>F17</f>
        <v>2</v>
      </c>
      <c r="G18" s="15">
        <f>B8+5</f>
        <v>2363</v>
      </c>
      <c r="H18" s="43" t="s">
        <v>75</v>
      </c>
      <c r="I18" s="43" t="s">
        <v>75</v>
      </c>
      <c r="J18" s="141" t="s">
        <v>77</v>
      </c>
      <c r="O18" s="18" t="s">
        <v>10</v>
      </c>
      <c r="Q18" s="1" t="s">
        <v>6</v>
      </c>
      <c r="T18" s="2" t="s">
        <v>79</v>
      </c>
      <c r="U18" s="12" t="s">
        <v>32</v>
      </c>
      <c r="V18" s="2"/>
      <c r="W18" s="36" t="s">
        <v>80</v>
      </c>
      <c r="X18" s="36" t="s">
        <v>81</v>
      </c>
    </row>
    <row r="19" spans="2:24" ht="15" customHeight="1" x14ac:dyDescent="0.2">
      <c r="B19" s="260" t="s">
        <v>82</v>
      </c>
      <c r="C19" s="261"/>
      <c r="D19" s="261"/>
      <c r="E19" s="43"/>
      <c r="F19" s="43">
        <f>IF(H10=Z7,H10+1,IF(H10=Z6,H10*1))*H13</f>
        <v>4</v>
      </c>
      <c r="G19" s="15">
        <f>G17-85</f>
        <v>5217</v>
      </c>
      <c r="H19" s="43" t="s">
        <v>83</v>
      </c>
      <c r="I19" s="43" t="s">
        <v>83</v>
      </c>
      <c r="J19" s="141" t="s">
        <v>76</v>
      </c>
      <c r="K19" s="232"/>
      <c r="L19" s="232"/>
      <c r="M19" s="232"/>
      <c r="N19" s="232"/>
      <c r="O19" s="232"/>
      <c r="P19" s="232"/>
      <c r="Q19" s="232"/>
      <c r="R19" s="232"/>
      <c r="S19" s="2" t="s">
        <v>84</v>
      </c>
      <c r="T19" s="2" t="s">
        <v>85</v>
      </c>
      <c r="U19" s="12" t="s">
        <v>42</v>
      </c>
      <c r="W19" s="36" t="s">
        <v>86</v>
      </c>
      <c r="X19" s="36" t="s">
        <v>87</v>
      </c>
    </row>
    <row r="20" spans="2:24" ht="15" customHeight="1" x14ac:dyDescent="0.2">
      <c r="B20" s="260" t="s">
        <v>82</v>
      </c>
      <c r="C20" s="261"/>
      <c r="D20" s="261"/>
      <c r="E20" s="43"/>
      <c r="F20" s="43">
        <f>F19</f>
        <v>4</v>
      </c>
      <c r="G20" s="15">
        <f>G18-85</f>
        <v>2278</v>
      </c>
      <c r="H20" s="43" t="s">
        <v>83</v>
      </c>
      <c r="I20" s="43" t="s">
        <v>83</v>
      </c>
      <c r="J20" s="141" t="s">
        <v>77</v>
      </c>
      <c r="K20" s="232"/>
      <c r="L20" s="232"/>
      <c r="M20" s="232"/>
      <c r="N20" s="232"/>
      <c r="O20" s="232"/>
      <c r="P20" s="232"/>
      <c r="Q20" s="232"/>
      <c r="R20" s="232"/>
      <c r="S20" s="2" t="s">
        <v>88</v>
      </c>
      <c r="T20" s="2" t="s">
        <v>89</v>
      </c>
      <c r="U20" s="12" t="s">
        <v>44</v>
      </c>
      <c r="V20" s="2"/>
      <c r="W20" s="36" t="s">
        <v>90</v>
      </c>
      <c r="X20" s="36" t="s">
        <v>91</v>
      </c>
    </row>
    <row r="21" spans="2:24" ht="15" customHeight="1" x14ac:dyDescent="0.2">
      <c r="B21" s="260" t="s">
        <v>217</v>
      </c>
      <c r="C21" s="261"/>
      <c r="D21" s="261"/>
      <c r="E21" s="43"/>
      <c r="F21" s="43">
        <f>IF(H10=Z6,(H13*4),IF(H10=Z7,(H13*6)))</f>
        <v>6</v>
      </c>
      <c r="G21" s="15">
        <f>(C12-48-48+16)/3+58.3</f>
        <v>1797.3</v>
      </c>
      <c r="H21" s="43" t="s">
        <v>75</v>
      </c>
      <c r="I21" s="43" t="s">
        <v>75</v>
      </c>
      <c r="J21" s="141" t="s">
        <v>218</v>
      </c>
      <c r="K21" s="232"/>
      <c r="L21" s="232"/>
      <c r="M21" s="232"/>
      <c r="N21" s="232"/>
      <c r="O21" s="232"/>
      <c r="P21" s="232"/>
      <c r="Q21" s="232"/>
      <c r="R21" s="232"/>
      <c r="S21" s="2" t="s">
        <v>94</v>
      </c>
      <c r="T21" s="2" t="s">
        <v>95</v>
      </c>
      <c r="U21" s="12" t="s">
        <v>25</v>
      </c>
      <c r="W21" s="36" t="s">
        <v>96</v>
      </c>
      <c r="X21" s="36" t="s">
        <v>97</v>
      </c>
    </row>
    <row r="22" spans="2:24" ht="15" customHeight="1" x14ac:dyDescent="0.25">
      <c r="B22" s="260" t="str">
        <f>B21</f>
        <v>HOJA CORREDERA 80</v>
      </c>
      <c r="C22" s="261"/>
      <c r="D22" s="261"/>
      <c r="E22" s="43"/>
      <c r="F22" s="43">
        <f>F21</f>
        <v>6</v>
      </c>
      <c r="G22" s="15">
        <f>B8-48-48+16+5</f>
        <v>2283</v>
      </c>
      <c r="H22" s="43" t="s">
        <v>75</v>
      </c>
      <c r="I22" s="43" t="s">
        <v>75</v>
      </c>
      <c r="J22" s="141" t="s">
        <v>212</v>
      </c>
      <c r="K22" s="232"/>
      <c r="L22" s="232"/>
      <c r="M22" s="232"/>
      <c r="N22" s="232"/>
      <c r="O22" s="232"/>
      <c r="P22" s="232"/>
      <c r="Q22" s="232"/>
      <c r="R22" s="232"/>
      <c r="S22" s="2" t="s">
        <v>99</v>
      </c>
      <c r="T22" s="2" t="s">
        <v>100</v>
      </c>
      <c r="U22" s="1" t="s">
        <v>50</v>
      </c>
      <c r="V22" s="2"/>
      <c r="W22" s="17" t="s">
        <v>101</v>
      </c>
      <c r="X22" s="36" t="s">
        <v>102</v>
      </c>
    </row>
    <row r="23" spans="2:24" ht="15" customHeight="1" x14ac:dyDescent="0.2">
      <c r="B23" s="260" t="s">
        <v>103</v>
      </c>
      <c r="C23" s="261"/>
      <c r="D23" s="261"/>
      <c r="E23" s="43"/>
      <c r="F23" s="43">
        <f>F22</f>
        <v>6</v>
      </c>
      <c r="G23" s="15">
        <f>G21-62-62-25</f>
        <v>1648.3</v>
      </c>
      <c r="H23" s="43" t="s">
        <v>83</v>
      </c>
      <c r="I23" s="43" t="s">
        <v>83</v>
      </c>
      <c r="J23" s="141" t="s">
        <v>93</v>
      </c>
      <c r="K23" s="232"/>
      <c r="L23" s="232"/>
      <c r="M23" s="232"/>
      <c r="N23" s="232"/>
      <c r="O23" s="232"/>
      <c r="P23" s="232"/>
      <c r="Q23" s="232"/>
      <c r="R23" s="232"/>
      <c r="V23" s="2"/>
    </row>
    <row r="24" spans="2:24" ht="15" customHeight="1" x14ac:dyDescent="0.2">
      <c r="B24" s="260" t="str">
        <f>B23</f>
        <v>REF. NEW MULTIPLE 1,2</v>
      </c>
      <c r="C24" s="261"/>
      <c r="D24" s="261"/>
      <c r="E24" s="43"/>
      <c r="F24" s="43">
        <f>F23</f>
        <v>6</v>
      </c>
      <c r="G24" s="15">
        <f>G22-62-62-25</f>
        <v>2134</v>
      </c>
      <c r="H24" s="43" t="s">
        <v>83</v>
      </c>
      <c r="I24" s="43" t="s">
        <v>83</v>
      </c>
      <c r="J24" s="141" t="s">
        <v>212</v>
      </c>
      <c r="K24" s="232"/>
      <c r="L24" s="232"/>
      <c r="M24" s="232"/>
      <c r="N24" s="232"/>
      <c r="O24" s="232"/>
      <c r="P24" s="232"/>
      <c r="Q24" s="232"/>
      <c r="R24" s="232"/>
      <c r="V24" s="13" t="s">
        <v>24</v>
      </c>
    </row>
    <row r="25" spans="2:24" ht="15" customHeight="1" x14ac:dyDescent="0.2">
      <c r="B25" s="277" t="s">
        <v>104</v>
      </c>
      <c r="C25" s="278"/>
      <c r="D25" s="279"/>
      <c r="E25" s="43"/>
      <c r="F25" s="43">
        <f>IF(G18&gt;=2300,4,0)</f>
        <v>4</v>
      </c>
      <c r="G25" s="15">
        <f>IF(F25&gt;=1,G22-62-62-25,0)</f>
        <v>2134</v>
      </c>
      <c r="H25" s="43" t="s">
        <v>83</v>
      </c>
      <c r="I25" s="43" t="s">
        <v>83</v>
      </c>
      <c r="J25" s="141" t="s">
        <v>219</v>
      </c>
      <c r="K25" s="232"/>
      <c r="L25" s="232"/>
      <c r="M25" s="232"/>
      <c r="N25" s="232"/>
      <c r="O25" s="232"/>
      <c r="P25" s="232"/>
      <c r="Q25" s="232"/>
      <c r="R25" s="232"/>
      <c r="V25" s="13"/>
    </row>
    <row r="26" spans="2:24" ht="15" customHeight="1" x14ac:dyDescent="0.2">
      <c r="B26" s="260" t="s">
        <v>220</v>
      </c>
      <c r="C26" s="261"/>
      <c r="D26" s="261"/>
      <c r="E26" s="43"/>
      <c r="F26" s="43">
        <f>F18*2</f>
        <v>4</v>
      </c>
      <c r="G26" s="15">
        <f>G22-7</f>
        <v>2276</v>
      </c>
      <c r="H26" s="43" t="s">
        <v>83</v>
      </c>
      <c r="I26" s="43" t="s">
        <v>83</v>
      </c>
      <c r="J26" s="141" t="s">
        <v>107</v>
      </c>
      <c r="K26" s="232"/>
      <c r="L26" s="232"/>
      <c r="M26" s="232"/>
      <c r="N26" s="232"/>
      <c r="O26" s="232"/>
      <c r="P26" s="232"/>
      <c r="Q26" s="232"/>
      <c r="R26" s="232"/>
      <c r="S26" s="36" t="s">
        <v>108</v>
      </c>
      <c r="T26" s="36" t="s">
        <v>109</v>
      </c>
      <c r="V26" s="13" t="s">
        <v>31</v>
      </c>
    </row>
    <row r="27" spans="2:24" ht="15" customHeight="1" x14ac:dyDescent="0.2">
      <c r="B27" s="260" t="s">
        <v>110</v>
      </c>
      <c r="C27" s="261"/>
      <c r="D27" s="261"/>
      <c r="E27" s="43"/>
      <c r="F27" s="43">
        <f>H10*H13</f>
        <v>3</v>
      </c>
      <c r="G27" s="15">
        <f>C12-48-48-1</f>
        <v>5200</v>
      </c>
      <c r="H27" s="43" t="s">
        <v>75</v>
      </c>
      <c r="I27" s="43" t="s">
        <v>75</v>
      </c>
      <c r="J27" s="141" t="s">
        <v>111</v>
      </c>
      <c r="K27" s="232"/>
      <c r="L27" s="232"/>
      <c r="M27" s="232"/>
      <c r="N27" s="232"/>
      <c r="O27" s="232"/>
      <c r="P27" s="232"/>
      <c r="Q27" s="232"/>
      <c r="R27" s="232"/>
      <c r="S27" s="36" t="s">
        <v>112</v>
      </c>
      <c r="T27" s="36" t="s">
        <v>113</v>
      </c>
      <c r="V27" s="13" t="s">
        <v>41</v>
      </c>
    </row>
    <row r="28" spans="2:24" ht="15" customHeight="1" x14ac:dyDescent="0.2">
      <c r="B28" s="260" t="str">
        <f>VLOOKUP(C33,O3:S17,5,0)</f>
        <v>JUNQUILLO PARA TERMOPANEL 22-24 MM</v>
      </c>
      <c r="C28" s="261"/>
      <c r="D28" s="261"/>
      <c r="E28" s="43"/>
      <c r="F28" s="243">
        <f>F21</f>
        <v>6</v>
      </c>
      <c r="G28" s="15">
        <f>G21-62-62-5</f>
        <v>1668.3</v>
      </c>
      <c r="H28" s="244" t="s">
        <v>75</v>
      </c>
      <c r="I28" s="244" t="s">
        <v>75</v>
      </c>
      <c r="J28" s="141" t="s">
        <v>93</v>
      </c>
      <c r="S28" s="36" t="s">
        <v>114</v>
      </c>
      <c r="T28" s="36" t="s">
        <v>115</v>
      </c>
    </row>
    <row r="29" spans="2:24" ht="15" customHeight="1" thickBot="1" x14ac:dyDescent="0.25">
      <c r="B29" s="311" t="str">
        <f>B28</f>
        <v>JUNQUILLO PARA TERMOPANEL 22-24 MM</v>
      </c>
      <c r="C29" s="312"/>
      <c r="D29" s="312"/>
      <c r="E29" s="137"/>
      <c r="F29" s="245">
        <f>F28</f>
        <v>6</v>
      </c>
      <c r="G29" s="137">
        <f>G22-62-62-5</f>
        <v>2154</v>
      </c>
      <c r="H29" s="246" t="s">
        <v>75</v>
      </c>
      <c r="I29" s="246" t="s">
        <v>75</v>
      </c>
      <c r="J29" s="249" t="s">
        <v>212</v>
      </c>
      <c r="S29" s="36" t="s">
        <v>116</v>
      </c>
      <c r="T29" s="36" t="s">
        <v>117</v>
      </c>
    </row>
    <row r="30" spans="2:24" ht="15" customHeight="1" thickBot="1" x14ac:dyDescent="0.3">
      <c r="S30" s="17" t="s">
        <v>118</v>
      </c>
      <c r="T30" s="36" t="s">
        <v>119</v>
      </c>
    </row>
    <row r="31" spans="2:24" ht="18" customHeight="1" thickBot="1" x14ac:dyDescent="0.25">
      <c r="B31" s="117" t="str">
        <f>G11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4" ht="18" customHeight="1" x14ac:dyDescent="0.2">
      <c r="B32" s="120" t="s">
        <v>120</v>
      </c>
      <c r="C32" s="42" t="s">
        <v>121</v>
      </c>
      <c r="D32" s="42"/>
      <c r="E32" s="42"/>
      <c r="F32" s="42"/>
      <c r="G32" s="42" t="s">
        <v>122</v>
      </c>
      <c r="H32" s="42" t="s">
        <v>123</v>
      </c>
      <c r="I32" s="42" t="s">
        <v>124</v>
      </c>
      <c r="J32" s="121" t="s">
        <v>125</v>
      </c>
      <c r="S32" s="36" t="s">
        <v>126</v>
      </c>
      <c r="T32" s="36" t="s">
        <v>127</v>
      </c>
      <c r="V32" s="1"/>
      <c r="X32" s="13"/>
    </row>
    <row r="33" spans="1:24" ht="18" customHeight="1" thickBot="1" x14ac:dyDescent="0.25">
      <c r="B33" s="140" t="str">
        <f>H11</f>
        <v>22 mm   -    6 inc+10+6 lam</v>
      </c>
      <c r="C33" s="281" t="str">
        <f>VLOOKUP(M2,L3:O17,4,0)</f>
        <v>Termopanel 6 mm Incoloro + 10 mm + 6 mm Incoloro Laminado</v>
      </c>
      <c r="D33" s="282"/>
      <c r="E33" s="282"/>
      <c r="F33" s="283"/>
      <c r="G33" s="123">
        <f>G28-8</f>
        <v>1660.3</v>
      </c>
      <c r="H33" s="123">
        <f>G29-8</f>
        <v>2146</v>
      </c>
      <c r="I33" s="124">
        <f>H10*H13</f>
        <v>3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36" t="s">
        <v>129</v>
      </c>
      <c r="T33" s="36" t="s">
        <v>130</v>
      </c>
      <c r="V33" s="1"/>
      <c r="X33" s="13"/>
    </row>
    <row r="34" spans="1:24" ht="18" customHeight="1" thickBot="1" x14ac:dyDescent="0.25">
      <c r="S34" s="36" t="s">
        <v>131</v>
      </c>
      <c r="T34" s="36" t="s">
        <v>132</v>
      </c>
      <c r="V34" s="1"/>
      <c r="X34" s="13"/>
    </row>
    <row r="35" spans="1:24" ht="18" customHeight="1" thickBot="1" x14ac:dyDescent="0.3">
      <c r="B35" s="272" t="s">
        <v>66</v>
      </c>
      <c r="C35" s="273"/>
      <c r="D35" s="274"/>
      <c r="E35" s="179"/>
      <c r="F35" s="187" t="s">
        <v>67</v>
      </c>
      <c r="G35" s="116" t="s">
        <v>133</v>
      </c>
      <c r="H35" s="262" t="s">
        <v>134</v>
      </c>
      <c r="I35" s="263"/>
      <c r="J35" s="116" t="s">
        <v>124</v>
      </c>
      <c r="S35" s="17" t="s">
        <v>135</v>
      </c>
      <c r="T35" s="36" t="s">
        <v>136</v>
      </c>
    </row>
    <row r="36" spans="1:24" ht="18" customHeight="1" x14ac:dyDescent="0.2">
      <c r="B36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2000MM</v>
      </c>
      <c r="C36" s="276"/>
      <c r="D36" s="276"/>
      <c r="E36" s="177"/>
      <c r="F36" s="170">
        <f>H13*2</f>
        <v>2</v>
      </c>
      <c r="G36" s="219" t="s">
        <v>138</v>
      </c>
      <c r="H36" s="284" t="s">
        <v>139</v>
      </c>
      <c r="I36" s="284"/>
      <c r="J36" s="142">
        <f>F39*2</f>
        <v>16</v>
      </c>
      <c r="S36" s="36" t="s">
        <v>140</v>
      </c>
      <c r="T36" s="36" t="s">
        <v>141</v>
      </c>
    </row>
    <row r="37" spans="1:24" ht="18" customHeight="1" x14ac:dyDescent="0.2">
      <c r="B37" s="266" t="str">
        <f>IF(AND(H14&gt;=0,H14&lt;=60),'Hoja1 (2)'!D5,IF(AND(H14&gt;=60.1,H14&lt;=120),'Hoja1 (2)'!D6,IF(AND(H14&gt;=120.1,H14&lt;=230),'Hoja1 (2)'!D3,)))</f>
        <v>CARRO CELSUS 230 KG REGULABLE</v>
      </c>
      <c r="C37" s="267"/>
      <c r="D37" s="267"/>
      <c r="E37" s="41"/>
      <c r="F37" s="126">
        <f>H13*6</f>
        <v>6</v>
      </c>
      <c r="G37" s="214" t="s">
        <v>142</v>
      </c>
      <c r="H37" s="270" t="s">
        <v>143</v>
      </c>
      <c r="I37" s="270"/>
      <c r="J37" s="131">
        <f>IF(B36='Hoja1 (2)'!A10,2*'Dobleriel S75 simetrica hoja 80'!F36,IF(B36='Hoja1 (2)'!A11,4*'Dobleriel S75 simetrica hoja 80'!F36,IF(B36='Hoja1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S37" s="36" t="s">
        <v>144</v>
      </c>
      <c r="T37" s="36" t="s">
        <v>145</v>
      </c>
    </row>
    <row r="38" spans="1:24" ht="18" customHeight="1" x14ac:dyDescent="0.2">
      <c r="B38" s="266" t="str">
        <f>IF(H9='Hoja1 (2)'!Q3,'Hoja1 (2)'!B3,IF(H9='Hoja1 (2)'!Q4,'Hoja1 (2)'!B4,IF(H9='Hoja1 (2)'!Q5,'Hoja1 (2)'!B4,IF(H9='Hoja1 (2)'!Q6,'Hoja1 (2)'!B5,IF(H9='Hoja1 (2)'!Q7,'Hoja1 (2)'!B5)))))</f>
        <v>MANILLA ALUMINIO VENTANA MARRON</v>
      </c>
      <c r="C38" s="267"/>
      <c r="D38" s="267"/>
      <c r="E38" s="41"/>
      <c r="F38" s="126">
        <f>F36</f>
        <v>2</v>
      </c>
      <c r="G38" s="214" t="s">
        <v>146</v>
      </c>
      <c r="H38" s="270" t="s">
        <v>147</v>
      </c>
      <c r="I38" s="270"/>
      <c r="J38" s="132">
        <f>((B8/250)*2+(C12/250)*2+(B8/250)*6+(C12/250)*2)*H13</f>
        <v>160.208</v>
      </c>
      <c r="S38" s="36" t="s">
        <v>148</v>
      </c>
      <c r="T38" s="36" t="s">
        <v>149</v>
      </c>
    </row>
    <row r="39" spans="1:24" ht="18" customHeight="1" x14ac:dyDescent="0.2">
      <c r="B39" s="285" t="s">
        <v>150</v>
      </c>
      <c r="C39" s="270"/>
      <c r="D39" s="270"/>
      <c r="E39" s="41"/>
      <c r="F39" s="126">
        <f>IF(B36='Hoja1 (2)'!A10,1*2*H13,IF(B36='Hoja1 (2)'!A11,2*2*H13,IF(B36='Hoja1 (2)'!A12,2*2*H13,IF(B36='Hoja1 (2)'!A13,2*2*H13,IF(B36='Hoja1 (2)'!A14,3*2*H13,IF(B36='Hoja1 (2)'!A15,3*2*H13,IF(B36='Hoja1 (2)'!A16,3*2*H13,IF(B36='Hoja1 (2)'!A17,4*2*H13,IF(B36='Hoja1 (2)'!A18,4*2*H13,IF(B36='Hoja1 (2)'!A19,4*2*H13))))))))))</f>
        <v>8</v>
      </c>
      <c r="G39" s="214" t="s">
        <v>151</v>
      </c>
      <c r="H39" s="270" t="s">
        <v>152</v>
      </c>
      <c r="I39" s="270"/>
      <c r="J39" s="132">
        <f>((B8*2)/500+(C12*2)/500)*H13</f>
        <v>30.619999999999997</v>
      </c>
      <c r="S39" s="36" t="s">
        <v>153</v>
      </c>
      <c r="T39" s="36" t="s">
        <v>154</v>
      </c>
    </row>
    <row r="40" spans="1:24" ht="18" customHeight="1" x14ac:dyDescent="0.25">
      <c r="B40" s="266" t="s">
        <v>155</v>
      </c>
      <c r="C40" s="267"/>
      <c r="D40" s="267"/>
      <c r="E40" s="41"/>
      <c r="F40" s="126">
        <f>F36</f>
        <v>2</v>
      </c>
      <c r="G40" s="214" t="s">
        <v>156</v>
      </c>
      <c r="H40" s="270" t="s">
        <v>157</v>
      </c>
      <c r="I40" s="270"/>
      <c r="J40" s="131">
        <f>F41*2</f>
        <v>8</v>
      </c>
      <c r="S40" s="17" t="s">
        <v>158</v>
      </c>
      <c r="T40" s="36" t="s">
        <v>159</v>
      </c>
    </row>
    <row r="41" spans="1:24" ht="18" customHeight="1" x14ac:dyDescent="0.2">
      <c r="B41" s="266" t="str">
        <f>IF(H9='Hoja1 (2)'!Q3,'Hoja1 (2)'!J7,IF(H9='Hoja1 (2)'!Q4,'Hoja1 (2)'!J8,IF(H9='Hoja1 (2)'!Q5,'Hoja1 (2)'!J8,IF(H9='Hoja1 (2)'!Q6,'Hoja1 (2)'!J9,IF(H9='Hoja1 (2)'!Q7,'Hoja1 (2)'!J9)))))</f>
        <v>TOPE ESTANCO S75 WINHOUSE CAFÉ</v>
      </c>
      <c r="C41" s="267"/>
      <c r="D41" s="267"/>
      <c r="E41" s="41"/>
      <c r="F41" s="126">
        <f>H13*4</f>
        <v>4</v>
      </c>
      <c r="G41" s="216" t="s">
        <v>160</v>
      </c>
      <c r="H41" s="271" t="s">
        <v>157</v>
      </c>
      <c r="I41" s="271"/>
      <c r="J41" s="203">
        <f>IF(B37='Hoja1 (2)'!D4,'Dobleriel S75 simetrica hoja 80'!H13*6*5,'Dobleriel S75 simetrica hoja 80'!H13*6*2)</f>
        <v>12</v>
      </c>
    </row>
    <row r="42" spans="1:24" ht="18" customHeight="1" x14ac:dyDescent="0.2">
      <c r="B42" s="266" t="str">
        <f>IF(H9='Hoja1 (2)'!Q3,'Hoja1 (2)'!J12,IF(H9='Hoja1 (2)'!Q4,'Hoja1 (2)'!J13,IF(H9='Hoja1 (2)'!Q5,'Hoja1 (2)'!J14,IF(H9='Hoja1 (2)'!Q6,'Hoja1 (2)'!J16,IF(H9='Hoja1 (2)'!Q7,'Hoja1 (2)'!J15)))))</f>
        <v>TAPA DESAGÜE MARRON</v>
      </c>
      <c r="C42" s="267"/>
      <c r="D42" s="267"/>
      <c r="E42" s="41"/>
      <c r="F42" s="126">
        <f>IF(AND(C12&gt;=0,C12&lt;=800),H13*2,IF(AND(C12&gt;=801,C12&lt;=1500),H13*3,IF(C12&gt;=1501,H13*4)))</f>
        <v>4</v>
      </c>
      <c r="G42" s="214" t="s">
        <v>161</v>
      </c>
      <c r="H42" s="288" t="s">
        <v>162</v>
      </c>
      <c r="I42" s="288"/>
      <c r="J42" s="131">
        <f>F40*2</f>
        <v>4</v>
      </c>
      <c r="S42" s="36" t="s">
        <v>163</v>
      </c>
      <c r="T42" s="36" t="s">
        <v>164</v>
      </c>
    </row>
    <row r="43" spans="1:24" ht="18" customHeight="1" x14ac:dyDescent="0.2">
      <c r="B43" s="266" t="str">
        <f>IF(H9='Hoja1 (2)'!Q3,'Hoja1 (2)'!J20,IF(H9='Hoja1 (2)'!Q4,'Hoja1 (2)'!J21,IF(H9='Hoja1 (2)'!Q5,'Hoja1 (2)'!J21,IF(H9='Hoja1 (2)'!Q6,'Hoja1 (2)'!J24,IF(H9='Hoja1 (2)'!Q7,'Hoja1 (2)'!J24)))))</f>
        <v xml:space="preserve">TAPA TORNILLO AMO 3 MARRON </v>
      </c>
      <c r="C43" s="267"/>
      <c r="D43" s="267"/>
      <c r="E43" s="41"/>
      <c r="F43" s="127">
        <f>J39</f>
        <v>30.619999999999997</v>
      </c>
      <c r="G43" s="214" t="s">
        <v>165</v>
      </c>
      <c r="H43" s="288" t="s">
        <v>166</v>
      </c>
      <c r="I43" s="288"/>
      <c r="J43" s="131">
        <f>F38*2</f>
        <v>4</v>
      </c>
      <c r="S43" s="36" t="s">
        <v>167</v>
      </c>
      <c r="T43" s="36" t="s">
        <v>168</v>
      </c>
    </row>
    <row r="44" spans="1:24" ht="18" customHeight="1" thickBot="1" x14ac:dyDescent="0.25">
      <c r="B44" s="266" t="str">
        <f>IF(H9='Hoja1 (2)'!Q3,'Hoja1 (2)'!J28,'Hoja1 (2)'!J29)</f>
        <v xml:space="preserve">TOPE CORREDERA 90º NEGRO </v>
      </c>
      <c r="C44" s="267"/>
      <c r="D44" s="267"/>
      <c r="E44" s="41"/>
      <c r="F44" s="126">
        <f>H13*3</f>
        <v>3</v>
      </c>
      <c r="G44" s="215" t="s">
        <v>169</v>
      </c>
      <c r="H44" s="257" t="s">
        <v>170</v>
      </c>
      <c r="I44" s="257"/>
      <c r="J44" s="202">
        <f>F44*1</f>
        <v>3</v>
      </c>
      <c r="S44" s="36" t="s">
        <v>171</v>
      </c>
      <c r="T44" s="36" t="s">
        <v>172</v>
      </c>
    </row>
    <row r="45" spans="1:24" ht="18" customHeight="1" x14ac:dyDescent="0.2">
      <c r="B45" s="264" t="s">
        <v>173</v>
      </c>
      <c r="C45" s="265"/>
      <c r="D45" s="265"/>
      <c r="E45" s="41"/>
      <c r="F45" s="126">
        <f>H13*4</f>
        <v>4</v>
      </c>
      <c r="S45" s="36" t="s">
        <v>174</v>
      </c>
      <c r="T45" s="36" t="s">
        <v>175</v>
      </c>
    </row>
    <row r="46" spans="1:24" ht="18" customHeight="1" x14ac:dyDescent="0.25">
      <c r="A46" s="280"/>
      <c r="B46" s="258" t="s">
        <v>176</v>
      </c>
      <c r="C46" s="259"/>
      <c r="D46" s="41" t="s">
        <v>177</v>
      </c>
      <c r="E46" s="41"/>
      <c r="F46" s="126">
        <f>(((B8*8)+(C12*12))*H13)/1000</f>
        <v>82.427999999999997</v>
      </c>
      <c r="S46" s="17" t="s">
        <v>178</v>
      </c>
      <c r="T46" s="36" t="s">
        <v>179</v>
      </c>
    </row>
    <row r="47" spans="1:24" ht="18" customHeight="1" x14ac:dyDescent="0.2">
      <c r="A47" s="280"/>
      <c r="B47" s="266" t="str">
        <f>IF(H9='Hoja1 (2)'!Q3,'Hoja1 (2)'!K4,IF(H9='Hoja1 (2)'!Q4,'Hoja1 (2)'!K5,IF(H9='Hoja1 (2)'!Q5,'Hoja1 (2)'!K6,IF(H9='Hoja1 (2)'!Q6,'Hoja1 (2)'!K7,IF(H9='Hoja1 (2)'!Q7,'Hoja1 (2)'!K3)))))</f>
        <v>SILICONA NEUTRA 300gr. MARRON</v>
      </c>
      <c r="C47" s="267"/>
      <c r="D47" s="41" t="s">
        <v>137</v>
      </c>
      <c r="E47" s="41"/>
      <c r="F47" s="127">
        <f>((((B8*C12)/10000)*2)*0.7)/300*H13</f>
        <v>5.8288187999999996</v>
      </c>
      <c r="S47" s="36" t="s">
        <v>180</v>
      </c>
      <c r="T47" s="36" t="s">
        <v>181</v>
      </c>
    </row>
    <row r="48" spans="1:24" ht="18" customHeight="1" x14ac:dyDescent="0.2">
      <c r="A48" s="280"/>
      <c r="B48" s="268" t="s">
        <v>182</v>
      </c>
      <c r="C48" s="269"/>
      <c r="D48" s="41" t="s">
        <v>137</v>
      </c>
      <c r="E48" s="41"/>
      <c r="F48" s="126">
        <f>H13*18</f>
        <v>18</v>
      </c>
      <c r="S48" s="36" t="s">
        <v>183</v>
      </c>
      <c r="T48" s="36" t="s">
        <v>184</v>
      </c>
    </row>
    <row r="49" spans="1:20" ht="15" customHeight="1" x14ac:dyDescent="0.2">
      <c r="A49" s="280"/>
      <c r="B49" s="286" t="s">
        <v>185</v>
      </c>
      <c r="C49" s="287"/>
      <c r="D49" s="41" t="s">
        <v>137</v>
      </c>
      <c r="E49" s="41"/>
      <c r="F49" s="126">
        <f>F48*1</f>
        <v>18</v>
      </c>
      <c r="S49" s="36" t="s">
        <v>186</v>
      </c>
      <c r="T49" s="36" t="s">
        <v>187</v>
      </c>
    </row>
    <row r="50" spans="1:20" ht="16.75" customHeight="1" x14ac:dyDescent="0.2">
      <c r="A50" s="280"/>
      <c r="B50" s="258" t="s">
        <v>188</v>
      </c>
      <c r="C50" s="259"/>
      <c r="D50" s="41" t="s">
        <v>137</v>
      </c>
      <c r="E50" s="41"/>
      <c r="F50" s="126">
        <f>1*F48</f>
        <v>18</v>
      </c>
      <c r="S50" s="36" t="s">
        <v>189</v>
      </c>
      <c r="T50" s="36" t="s">
        <v>190</v>
      </c>
    </row>
    <row r="51" spans="1:20" ht="16.399999999999999" customHeight="1" x14ac:dyDescent="0.25">
      <c r="A51" s="280"/>
      <c r="B51" s="258" t="s">
        <v>191</v>
      </c>
      <c r="C51" s="259"/>
      <c r="D51" s="41" t="s">
        <v>137</v>
      </c>
      <c r="E51" s="41"/>
      <c r="F51" s="126">
        <f>1*F48</f>
        <v>18</v>
      </c>
      <c r="S51" s="17" t="s">
        <v>192</v>
      </c>
      <c r="T51" s="36" t="s">
        <v>193</v>
      </c>
    </row>
    <row r="52" spans="1:20" ht="16.75" customHeight="1" x14ac:dyDescent="0.2">
      <c r="B52" s="266" t="str">
        <f>IF(B37='Hoja1 (2)'!D5,'Tripleriel S75 Simetrica H 80'!C54,IF('Tripleriel S75 Simetrica H 80'!B37:D37='Hoja1 (2)'!D6,'Tripleriel S75 Simetrica H 80'!C54,IF('Tripleriel S75 Simetrica H 80'!B37:D37='Hoja1 (2)'!D3,'Tripleriel S75 Simetrica H 80'!C55)))</f>
        <v>SUPLEMENTO CELSUS 13 MM.</v>
      </c>
      <c r="C52" s="267"/>
      <c r="D52" s="41" t="s">
        <v>137</v>
      </c>
      <c r="E52" s="41"/>
      <c r="F52" s="126">
        <f>H13*6</f>
        <v>6</v>
      </c>
      <c r="S52" s="36" t="s">
        <v>194</v>
      </c>
      <c r="T52" s="36" t="s">
        <v>195</v>
      </c>
    </row>
    <row r="53" spans="1:20" ht="15.65" customHeight="1" thickBot="1" x14ac:dyDescent="0.25">
      <c r="B53" s="306" t="s">
        <v>202</v>
      </c>
      <c r="C53" s="307"/>
      <c r="D53" s="129" t="s">
        <v>137</v>
      </c>
      <c r="E53" s="129"/>
      <c r="F53" s="130">
        <f>2</f>
        <v>2</v>
      </c>
      <c r="S53" s="36" t="s">
        <v>197</v>
      </c>
      <c r="T53" s="36" t="s">
        <v>198</v>
      </c>
    </row>
    <row r="54" spans="1:20" ht="15.65" hidden="1" customHeight="1" x14ac:dyDescent="0.2">
      <c r="C54" s="1" t="s">
        <v>196</v>
      </c>
      <c r="S54" s="36" t="s">
        <v>200</v>
      </c>
      <c r="T54" s="36" t="s">
        <v>201</v>
      </c>
    </row>
    <row r="55" spans="1:20" ht="14.5" hidden="1" customHeight="1" x14ac:dyDescent="0.2">
      <c r="C55" s="1" t="s">
        <v>221</v>
      </c>
      <c r="S55" s="36" t="s">
        <v>203</v>
      </c>
      <c r="T55" s="36" t="s">
        <v>204</v>
      </c>
    </row>
    <row r="56" spans="1:20" ht="15.65" customHeight="1" thickBot="1" x14ac:dyDescent="0.3">
      <c r="B56" s="306" t="s">
        <v>222</v>
      </c>
      <c r="C56" s="307"/>
      <c r="D56" s="129" t="s">
        <v>137</v>
      </c>
      <c r="E56" s="129"/>
      <c r="F56" s="130">
        <f>H13*8</f>
        <v>8</v>
      </c>
      <c r="S56" s="17" t="s">
        <v>205</v>
      </c>
      <c r="T56" s="36" t="s">
        <v>206</v>
      </c>
    </row>
    <row r="57" spans="1:20" ht="16.399999999999999" customHeight="1" x14ac:dyDescent="0.2"/>
    <row r="58" spans="1:20" ht="14.5" x14ac:dyDescent="0.35">
      <c r="T58"/>
    </row>
    <row r="59" spans="1:20" ht="130.75" customHeight="1" x14ac:dyDescent="0.35">
      <c r="T59"/>
    </row>
    <row r="60" spans="1:20" ht="128.5" customHeight="1" x14ac:dyDescent="0.35">
      <c r="T60"/>
    </row>
  </sheetData>
  <sheetProtection algorithmName="SHA-512" hashValue="yNkGeSPL2JuSyAUENaGG0apGeSzsHMGpSOR3zUxzk9zzq64yQZvcJC6F4kKN6klB2F+atgst01B/1b77RAx7FQ==" saltValue="r6aMFHoW2rDO1UROi+LHHg==" spinCount="100000" sheet="1" objects="1" scenarios="1"/>
  <dataConsolidate/>
  <mergeCells count="55">
    <mergeCell ref="B56:C56"/>
    <mergeCell ref="B53:C53"/>
    <mergeCell ref="B17:D17"/>
    <mergeCell ref="B16:D16"/>
    <mergeCell ref="B18:D18"/>
    <mergeCell ref="B27:D27"/>
    <mergeCell ref="B28:D28"/>
    <mergeCell ref="B29:D29"/>
    <mergeCell ref="B19:D19"/>
    <mergeCell ref="B20:D20"/>
    <mergeCell ref="B21:D21"/>
    <mergeCell ref="B22:D22"/>
    <mergeCell ref="B23:D23"/>
    <mergeCell ref="B52:C52"/>
    <mergeCell ref="H2:J4"/>
    <mergeCell ref="H11:I11"/>
    <mergeCell ref="H16:I16"/>
    <mergeCell ref="C4:C11"/>
    <mergeCell ref="G5:J5"/>
    <mergeCell ref="H7:I7"/>
    <mergeCell ref="H8:I8"/>
    <mergeCell ref="H9:I9"/>
    <mergeCell ref="H10:I10"/>
    <mergeCell ref="A46:A51"/>
    <mergeCell ref="C33:F33"/>
    <mergeCell ref="H36:I36"/>
    <mergeCell ref="H37:I37"/>
    <mergeCell ref="H38:I38"/>
    <mergeCell ref="B37:D37"/>
    <mergeCell ref="B38:D38"/>
    <mergeCell ref="B39:D39"/>
    <mergeCell ref="B40:D40"/>
    <mergeCell ref="B41:D41"/>
    <mergeCell ref="B42:D42"/>
    <mergeCell ref="B43:D43"/>
    <mergeCell ref="B49:C49"/>
    <mergeCell ref="B50:C50"/>
    <mergeCell ref="H42:I42"/>
    <mergeCell ref="H43:I43"/>
    <mergeCell ref="H44:I44"/>
    <mergeCell ref="B51:C51"/>
    <mergeCell ref="B24:D24"/>
    <mergeCell ref="B26:D26"/>
    <mergeCell ref="H35:I35"/>
    <mergeCell ref="B45:D45"/>
    <mergeCell ref="B46:C46"/>
    <mergeCell ref="B47:C47"/>
    <mergeCell ref="B48:C48"/>
    <mergeCell ref="H39:I39"/>
    <mergeCell ref="H40:I40"/>
    <mergeCell ref="H41:I41"/>
    <mergeCell ref="B35:D35"/>
    <mergeCell ref="B36:D36"/>
    <mergeCell ref="B44:D44"/>
    <mergeCell ref="B25:D25"/>
  </mergeCells>
  <conditionalFormatting sqref="S26:S29">
    <cfRule type="duplicateValues" dxfId="139" priority="29"/>
    <cfRule type="duplicateValues" dxfId="138" priority="31"/>
    <cfRule type="duplicateValues" dxfId="137" priority="32"/>
  </conditionalFormatting>
  <conditionalFormatting sqref="S32:S34 S36:S39">
    <cfRule type="duplicateValues" dxfId="136" priority="26"/>
  </conditionalFormatting>
  <conditionalFormatting sqref="S32:S34">
    <cfRule type="duplicateValues" dxfId="135" priority="48"/>
  </conditionalFormatting>
  <conditionalFormatting sqref="S42:S45 S47:S50 S52:S55">
    <cfRule type="duplicateValues" dxfId="134" priority="20"/>
  </conditionalFormatting>
  <conditionalFormatting sqref="S42:S45">
    <cfRule type="duplicateValues" dxfId="133" priority="17"/>
    <cfRule type="duplicateValues" dxfId="132" priority="19"/>
  </conditionalFormatting>
  <conditionalFormatting sqref="S59:S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{C4B00632-D2A2-4CBA-B267-8F1A3500200B}</x14:id>
        </ext>
      </extLst>
    </cfRule>
  </conditionalFormatting>
  <conditionalFormatting sqref="S59:T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{7ED83B9D-92A6-416B-8269-D27D2468C83E}</x14:id>
        </ext>
      </extLst>
    </cfRule>
  </conditionalFormatting>
  <conditionalFormatting sqref="T26:T30">
    <cfRule type="duplicateValues" dxfId="131" priority="28"/>
    <cfRule type="duplicateValues" dxfId="130" priority="30"/>
    <cfRule type="duplicateValues" dxfId="129" priority="33"/>
  </conditionalFormatting>
  <conditionalFormatting sqref="T32:T40">
    <cfRule type="duplicateValues" dxfId="128" priority="46"/>
  </conditionalFormatting>
  <conditionalFormatting sqref="T42:T56">
    <cfRule type="duplicateValues" dxfId="127" priority="16"/>
    <cfRule type="duplicateValues" dxfId="126" priority="18"/>
    <cfRule type="duplicateValues" dxfId="125" priority="21"/>
  </conditionalFormatting>
  <conditionalFormatting sqref="T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{59A760EA-F08F-4A31-9503-1FD22CBE7715}</x14:id>
        </ext>
      </extLst>
    </cfRule>
  </conditionalFormatting>
  <conditionalFormatting sqref="W18:W21">
    <cfRule type="duplicateValues" dxfId="124" priority="11"/>
    <cfRule type="duplicateValues" dxfId="123" priority="13"/>
    <cfRule type="duplicateValues" dxfId="122" priority="14"/>
  </conditionalFormatting>
  <conditionalFormatting sqref="X18:X22">
    <cfRule type="duplicateValues" dxfId="121" priority="10"/>
    <cfRule type="duplicateValues" dxfId="120" priority="12"/>
    <cfRule type="duplicateValues" dxfId="119" priority="15"/>
  </conditionalFormatting>
  <dataValidations count="1">
    <dataValidation type="list" allowBlank="1" showInputMessage="1" showErrorMessage="1" sqref="H11:I11" xr:uid="{00000000-0002-0000-0300-000000000000}">
      <formula1>$L$3:$L$17</formula1>
    </dataValidation>
  </dataValidations>
  <pageMargins left="0.7" right="0.7" top="0.75" bottom="0.75" header="0.3" footer="0.3"/>
  <pageSetup scale="68" orientation="portrait" r:id="rId1"/>
  <ignoredErrors>
    <ignoredError sqref="F21" 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B00632-D2A2-4CBA-B267-8F1A350020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S59:S60</xm:sqref>
        </x14:conditionalFormatting>
        <x14:conditionalFormatting xmlns:xm="http://schemas.microsoft.com/office/excel/2006/main">
          <x14:cfRule type="dataBar" id="{7ED83B9D-92A6-416B-8269-D27D2468C8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S59:T60</xm:sqref>
        </x14:conditionalFormatting>
        <x14:conditionalFormatting xmlns:xm="http://schemas.microsoft.com/office/excel/2006/main">
          <x14:cfRule type="dataBar" id="{59A760EA-F08F-4A31-9503-1FD22CBE77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'Hoja1 (2)'!$Q$3:$Q$7</xm:f>
          </x14:formula1>
          <xm:sqref>H9:I9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0"/>
  <sheetViews>
    <sheetView topLeftCell="A2" zoomScaleNormal="100" workbookViewId="0">
      <selection activeCell="F20" sqref="F20"/>
    </sheetView>
  </sheetViews>
  <sheetFormatPr baseColWidth="10" defaultColWidth="11.453125" defaultRowHeight="10" x14ac:dyDescent="0.2"/>
  <cols>
    <col min="1" max="1" width="4.1796875" style="2" customWidth="1"/>
    <col min="2" max="2" width="18.81640625" style="1" bestFit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3.54296875" style="1" customWidth="1"/>
    <col min="8" max="8" width="10.81640625" style="1" bestFit="1" customWidth="1"/>
    <col min="9" max="9" width="7.453125" style="1" customWidth="1"/>
    <col min="10" max="10" width="17.453125" style="1" bestFit="1" customWidth="1"/>
    <col min="11" max="11" width="17.54296875" style="2" customWidth="1"/>
    <col min="12" max="18" width="17.54296875" style="2" hidden="1" customWidth="1"/>
    <col min="19" max="19" width="12" style="2" hidden="1" customWidth="1"/>
    <col min="20" max="20" width="41.81640625" style="2" hidden="1" customWidth="1"/>
    <col min="21" max="21" width="26.81640625" style="2" hidden="1" customWidth="1"/>
    <col min="22" max="22" width="32.54296875" style="5" hidden="1" customWidth="1"/>
    <col min="23" max="23" width="22.453125" style="2" hidden="1" customWidth="1"/>
    <col min="24" max="24" width="26.81640625" style="2" hidden="1" customWidth="1"/>
    <col min="25" max="26" width="11.453125" style="2" hidden="1" customWidth="1"/>
    <col min="27" max="27" width="37.1796875" style="2" customWidth="1"/>
    <col min="28" max="30" width="11.453125" style="2" customWidth="1"/>
    <col min="31" max="16384" width="11.453125" style="2"/>
  </cols>
  <sheetData>
    <row r="1" spans="2:26" ht="21" customHeight="1" thickBot="1" x14ac:dyDescent="0.25"/>
    <row r="2" spans="2:26" ht="49.4" customHeight="1" x14ac:dyDescent="0.2">
      <c r="B2" s="344" t="s">
        <v>2</v>
      </c>
      <c r="C2" s="345"/>
      <c r="D2" s="345"/>
      <c r="E2" s="345"/>
      <c r="F2" s="345"/>
      <c r="G2" s="346"/>
      <c r="H2" s="289"/>
      <c r="I2" s="289"/>
      <c r="J2" s="290"/>
      <c r="N2" s="50" t="str">
        <f>H11</f>
        <v>22 mm   -    6 inc+10+6 lam</v>
      </c>
      <c r="V2" s="2"/>
    </row>
    <row r="3" spans="2:26" ht="22" x14ac:dyDescent="0.2">
      <c r="B3" s="95"/>
      <c r="C3" s="4"/>
      <c r="D3" s="2"/>
      <c r="H3" s="291"/>
      <c r="I3" s="291"/>
      <c r="J3" s="292"/>
      <c r="L3" s="2">
        <v>3.7</v>
      </c>
      <c r="M3" s="18" t="str">
        <f>O3&amp;" -    "&amp;N3&amp;" "&amp;"mm"</f>
        <v>Semilla -    3.7 mm</v>
      </c>
      <c r="N3" s="1" t="s">
        <v>3</v>
      </c>
      <c r="O3" s="1" t="s">
        <v>4</v>
      </c>
      <c r="P3" s="2" t="s">
        <v>5</v>
      </c>
      <c r="R3" s="1" t="s">
        <v>6</v>
      </c>
      <c r="S3" s="1"/>
      <c r="T3" s="18" t="s">
        <v>7</v>
      </c>
      <c r="V3" s="2"/>
    </row>
    <row r="4" spans="2:26" ht="10.5" thickBot="1" x14ac:dyDescent="0.25">
      <c r="B4" s="95"/>
      <c r="C4" s="298"/>
      <c r="H4" s="293"/>
      <c r="I4" s="293"/>
      <c r="J4" s="294"/>
      <c r="L4" s="2">
        <v>4</v>
      </c>
      <c r="M4" s="18" t="str">
        <f>N4&amp;" "&amp;"mm"&amp;"     -    "&amp;O4</f>
        <v>4 mm     -    Incoloro</v>
      </c>
      <c r="N4" s="1">
        <v>4</v>
      </c>
      <c r="O4" s="1" t="s">
        <v>8</v>
      </c>
      <c r="P4" s="2" t="s">
        <v>9</v>
      </c>
      <c r="R4" s="1" t="s">
        <v>6</v>
      </c>
      <c r="S4" s="1"/>
      <c r="T4" s="18" t="s">
        <v>10</v>
      </c>
      <c r="V4" s="2"/>
    </row>
    <row r="5" spans="2:26" ht="21" customHeight="1" thickBot="1" x14ac:dyDescent="0.25">
      <c r="B5" s="95"/>
      <c r="C5" s="298"/>
      <c r="G5" s="300" t="s">
        <v>13</v>
      </c>
      <c r="H5" s="301"/>
      <c r="I5" s="301"/>
      <c r="J5" s="302"/>
      <c r="K5" s="33"/>
      <c r="L5" s="2">
        <v>4</v>
      </c>
      <c r="M5" s="18" t="str">
        <f>N5&amp;" "&amp;"mm"&amp;"     -    "&amp;O5</f>
        <v>4 mm     -    Saten</v>
      </c>
      <c r="N5" s="1">
        <v>4</v>
      </c>
      <c r="O5" s="1" t="s">
        <v>11</v>
      </c>
      <c r="P5" s="2" t="s">
        <v>12</v>
      </c>
      <c r="R5" s="1" t="s">
        <v>6</v>
      </c>
      <c r="S5" s="1"/>
      <c r="T5" s="18" t="s">
        <v>10</v>
      </c>
      <c r="V5" s="2"/>
      <c r="W5" s="2" t="s">
        <v>16</v>
      </c>
      <c r="X5" s="2" t="s">
        <v>17</v>
      </c>
      <c r="Y5" s="2" t="s">
        <v>18</v>
      </c>
      <c r="Z5" s="2" t="s">
        <v>19</v>
      </c>
    </row>
    <row r="6" spans="2:26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34"/>
      <c r="L6" s="2">
        <v>5</v>
      </c>
      <c r="M6" s="18" t="str">
        <f>N6&amp;" "&amp;"mm"&amp;"     -    "&amp;O6</f>
        <v>5 mm     -    Incoloro</v>
      </c>
      <c r="N6" s="1">
        <v>5</v>
      </c>
      <c r="O6" s="1" t="s">
        <v>8</v>
      </c>
      <c r="P6" s="2" t="s">
        <v>14</v>
      </c>
      <c r="R6" s="1" t="s">
        <v>6</v>
      </c>
      <c r="S6" s="1"/>
      <c r="T6" s="18" t="s">
        <v>10</v>
      </c>
      <c r="V6" s="2"/>
      <c r="W6" s="2" t="s">
        <v>26</v>
      </c>
      <c r="X6" s="2">
        <v>80</v>
      </c>
      <c r="Y6" s="2">
        <v>62</v>
      </c>
      <c r="Z6" s="2">
        <v>2</v>
      </c>
    </row>
    <row r="7" spans="2:26" ht="15" customHeight="1" x14ac:dyDescent="0.2">
      <c r="B7" s="95"/>
      <c r="C7" s="298"/>
      <c r="D7" s="96"/>
      <c r="E7" s="96"/>
      <c r="G7" s="51" t="s">
        <v>27</v>
      </c>
      <c r="H7" s="303" t="str">
        <f>C12&amp;"  "&amp;"mm"&amp;" "&amp;"x"&amp;" "&amp;B8&amp;" "&amp;"mm"</f>
        <v>2500  mm x 1200 mm</v>
      </c>
      <c r="I7" s="303"/>
      <c r="J7" s="99"/>
      <c r="L7" s="2">
        <v>6</v>
      </c>
      <c r="M7" s="18" t="str">
        <f>N7&amp;" "&amp;"mm"&amp;"     -    "&amp;O7</f>
        <v>6 mm     -    Incoloro</v>
      </c>
      <c r="N7" s="1">
        <v>6</v>
      </c>
      <c r="O7" s="1" t="s">
        <v>8</v>
      </c>
      <c r="P7" s="2" t="s">
        <v>22</v>
      </c>
      <c r="R7" s="1" t="s">
        <v>6</v>
      </c>
      <c r="S7" s="1"/>
      <c r="T7" s="18" t="s">
        <v>10</v>
      </c>
      <c r="V7" s="2"/>
      <c r="W7" s="2" t="s">
        <v>33</v>
      </c>
      <c r="X7" s="2">
        <v>98</v>
      </c>
      <c r="Y7" s="2">
        <v>80</v>
      </c>
      <c r="Z7" s="2">
        <v>3</v>
      </c>
    </row>
    <row r="8" spans="2:26" ht="21.65" customHeight="1" x14ac:dyDescent="0.2">
      <c r="B8" s="98">
        <v>1200</v>
      </c>
      <c r="C8" s="298"/>
      <c r="D8" s="96"/>
      <c r="E8" s="96"/>
      <c r="F8" s="2"/>
      <c r="G8" s="51" t="s">
        <v>34</v>
      </c>
      <c r="H8" s="304" t="s">
        <v>207</v>
      </c>
      <c r="I8" s="304"/>
      <c r="J8" s="99"/>
      <c r="L8" s="2">
        <v>6</v>
      </c>
      <c r="M8" s="18" t="str">
        <f>N8&amp;" "&amp;"mm"&amp;"     -    "&amp;O8</f>
        <v>6 mm     -    Laminado</v>
      </c>
      <c r="N8" s="1">
        <v>6</v>
      </c>
      <c r="O8" s="1" t="s">
        <v>28</v>
      </c>
      <c r="P8" s="2" t="s">
        <v>29</v>
      </c>
      <c r="R8" s="1" t="s">
        <v>6</v>
      </c>
      <c r="S8" s="1"/>
      <c r="T8" s="18" t="s">
        <v>10</v>
      </c>
      <c r="V8" s="2"/>
    </row>
    <row r="9" spans="2:26" ht="21" customHeight="1" x14ac:dyDescent="0.2">
      <c r="B9" s="95"/>
      <c r="C9" s="298"/>
      <c r="D9" s="96"/>
      <c r="E9" s="96"/>
      <c r="G9" s="51" t="s">
        <v>43</v>
      </c>
      <c r="H9" s="305" t="s">
        <v>32</v>
      </c>
      <c r="I9" s="305"/>
      <c r="J9" s="100"/>
      <c r="L9" s="2">
        <v>8</v>
      </c>
      <c r="M9" s="18" t="str">
        <f t="shared" ref="M9:M16" si="0">N9&amp;" "&amp;"mm"&amp;"   -    "&amp;O9</f>
        <v>18 mm   -    4 inc+10+4 inc</v>
      </c>
      <c r="N9" s="1">
        <v>18</v>
      </c>
      <c r="O9" s="1" t="s">
        <v>36</v>
      </c>
      <c r="P9" s="2" t="s">
        <v>37</v>
      </c>
      <c r="R9" s="1" t="s">
        <v>38</v>
      </c>
      <c r="S9" s="1"/>
      <c r="T9" s="18" t="s">
        <v>39</v>
      </c>
      <c r="V9" s="2"/>
    </row>
    <row r="10" spans="2:26" ht="21" customHeight="1" x14ac:dyDescent="0.2">
      <c r="B10" s="95"/>
      <c r="C10" s="298"/>
      <c r="D10" s="96"/>
      <c r="E10" s="96"/>
      <c r="G10" s="51" t="s">
        <v>47</v>
      </c>
      <c r="H10" s="304">
        <v>3</v>
      </c>
      <c r="I10" s="304"/>
      <c r="J10" s="99"/>
      <c r="L10" s="2">
        <v>8</v>
      </c>
      <c r="M10" s="18" t="str">
        <f t="shared" si="0"/>
        <v>18 mm   -    4 inc+10+4 sat</v>
      </c>
      <c r="N10" s="1">
        <v>18</v>
      </c>
      <c r="O10" s="1" t="s">
        <v>45</v>
      </c>
      <c r="P10" s="2" t="s">
        <v>46</v>
      </c>
      <c r="R10" s="1" t="s">
        <v>38</v>
      </c>
      <c r="S10" s="1"/>
      <c r="T10" s="18" t="s">
        <v>39</v>
      </c>
      <c r="V10" s="2"/>
    </row>
    <row r="11" spans="2:26" ht="21" customHeight="1" x14ac:dyDescent="0.2">
      <c r="B11" s="101"/>
      <c r="C11" s="299"/>
      <c r="D11" s="96"/>
      <c r="E11" s="96"/>
      <c r="G11" s="51" t="s">
        <v>51</v>
      </c>
      <c r="H11" s="295" t="s">
        <v>71</v>
      </c>
      <c r="I11" s="295"/>
      <c r="J11" s="102"/>
      <c r="K11" s="35"/>
      <c r="L11" s="2">
        <v>10</v>
      </c>
      <c r="M11" s="18" t="str">
        <f t="shared" si="0"/>
        <v>18 mm   -    5 inc+8+5 inc</v>
      </c>
      <c r="N11" s="1">
        <v>18</v>
      </c>
      <c r="O11" s="1" t="s">
        <v>48</v>
      </c>
      <c r="P11" s="2" t="s">
        <v>49</v>
      </c>
      <c r="R11" s="1" t="s">
        <v>38</v>
      </c>
      <c r="S11" s="1"/>
      <c r="T11" s="18" t="s">
        <v>39</v>
      </c>
      <c r="V11" s="2"/>
    </row>
    <row r="12" spans="2:26" ht="21" customHeight="1" x14ac:dyDescent="0.2">
      <c r="B12" s="95"/>
      <c r="C12" s="37">
        <v>2500</v>
      </c>
      <c r="G12" s="51" t="s">
        <v>55</v>
      </c>
      <c r="H12" s="7">
        <f>C12*B8/1000000</f>
        <v>3</v>
      </c>
      <c r="I12" s="8" t="s">
        <v>56</v>
      </c>
      <c r="J12" s="103"/>
      <c r="L12" s="2">
        <v>9</v>
      </c>
      <c r="M12" s="18" t="str">
        <f t="shared" si="0"/>
        <v>19 mm   -    4 inc+10+5 inc</v>
      </c>
      <c r="N12" s="1">
        <v>19</v>
      </c>
      <c r="O12" s="1" t="s">
        <v>53</v>
      </c>
      <c r="P12" s="2" t="s">
        <v>54</v>
      </c>
      <c r="R12" s="1" t="s">
        <v>38</v>
      </c>
      <c r="S12" s="1"/>
      <c r="T12" s="18" t="s">
        <v>39</v>
      </c>
      <c r="V12" s="2"/>
    </row>
    <row r="13" spans="2:26" ht="21" customHeight="1" x14ac:dyDescent="0.2">
      <c r="B13" s="95"/>
      <c r="C13" s="104"/>
      <c r="E13" s="105"/>
      <c r="G13" s="52" t="s">
        <v>59</v>
      </c>
      <c r="H13" s="53">
        <v>1</v>
      </c>
      <c r="I13" s="8" t="s">
        <v>60</v>
      </c>
      <c r="J13" s="102"/>
      <c r="L13" s="27">
        <v>11</v>
      </c>
      <c r="M13" s="18" t="str">
        <f t="shared" si="0"/>
        <v>19 mm   -    5 inc+8+6 inc</v>
      </c>
      <c r="N13" s="1">
        <v>19</v>
      </c>
      <c r="O13" s="1" t="s">
        <v>57</v>
      </c>
      <c r="P13" s="2" t="s">
        <v>58</v>
      </c>
      <c r="Q13" s="1"/>
      <c r="R13" s="1" t="s">
        <v>38</v>
      </c>
      <c r="S13" s="1"/>
      <c r="T13" s="18" t="s">
        <v>39</v>
      </c>
      <c r="U13" s="3"/>
      <c r="V13" s="3"/>
    </row>
    <row r="14" spans="2:26" s="3" customFormat="1" ht="21" customHeight="1" thickBot="1" x14ac:dyDescent="0.25">
      <c r="B14" s="106"/>
      <c r="C14" s="107"/>
      <c r="D14" s="107"/>
      <c r="E14" s="107"/>
      <c r="F14" s="107"/>
      <c r="G14" s="108" t="s">
        <v>208</v>
      </c>
      <c r="H14" s="109">
        <f>IF(H11=M3,((H12/3)*L3*2.54*1.3),IF(H11=M4,((H12/3)*L4*2.54*1.3),IF(H11=M5,((H12/3)*L5*2.54*1.3),IF(H11=M6,((H12/3)*L6*2.54*1.3),IF(H11=M7,((H12/3)*L7*2.54*1.3),IF(H11=M8,((H12/3)*L8*2.54*1.3),IF(H11=M9,((H12/3)*L9*2.54*1.3),IF(H11=M10,((H12/3)*L10*2.54*1.3),IF(H11=M11,((H12/3)*L11*2.54*1.3),IF(H11=M12,((H12/3)*L12*2.54*1.3),IF(H11=M13,((H12/3)*L13*2.54*1.3),IF(H11=M14,((H12/3)*L14*2.54*1.3),IF(H11=M16,((H12/3)*L16*2.54*1.3),IF(H11=M17,((H12/3)*L17*2.54*1.3)))))))))))))))</f>
        <v>39.624000000000002</v>
      </c>
      <c r="I14" s="107"/>
      <c r="J14" s="110"/>
      <c r="L14" s="2">
        <v>11</v>
      </c>
      <c r="M14" s="18" t="str">
        <f t="shared" si="0"/>
        <v>19 mm   -    5 inc+8+6 lam</v>
      </c>
      <c r="N14" s="1">
        <v>19</v>
      </c>
      <c r="O14" s="1" t="s">
        <v>61</v>
      </c>
      <c r="P14" s="2" t="s">
        <v>62</v>
      </c>
      <c r="Q14" s="2"/>
      <c r="R14" s="1" t="s">
        <v>38</v>
      </c>
      <c r="S14" s="1"/>
      <c r="T14" s="18" t="s">
        <v>39</v>
      </c>
      <c r="U14" s="2"/>
      <c r="V14" s="2"/>
      <c r="W14" s="2"/>
      <c r="X14" s="2"/>
      <c r="Y14" s="2"/>
    </row>
    <row r="15" spans="2:26" s="3" customFormat="1" ht="21" customHeight="1" thickBot="1" x14ac:dyDescent="0.25">
      <c r="G15" s="89"/>
      <c r="H15" s="90"/>
      <c r="L15" s="2"/>
      <c r="M15" s="18"/>
      <c r="N15" s="1"/>
      <c r="O15" s="1"/>
      <c r="P15" s="2"/>
      <c r="Q15" s="2"/>
      <c r="R15" s="1"/>
      <c r="S15" s="1"/>
      <c r="T15" s="18"/>
      <c r="U15" s="2"/>
      <c r="V15" s="2"/>
      <c r="W15" s="2"/>
      <c r="X15" s="2"/>
      <c r="Y15" s="2"/>
    </row>
    <row r="16" spans="2:26" ht="15" customHeight="1" thickBot="1" x14ac:dyDescent="0.25">
      <c r="B16" s="296" t="s">
        <v>66</v>
      </c>
      <c r="C16" s="310"/>
      <c r="D16" s="310"/>
      <c r="E16" s="297"/>
      <c r="F16" s="116" t="s">
        <v>67</v>
      </c>
      <c r="G16" s="116" t="s">
        <v>68</v>
      </c>
      <c r="H16" s="296" t="s">
        <v>69</v>
      </c>
      <c r="I16" s="297"/>
      <c r="J16" s="116" t="s">
        <v>70</v>
      </c>
      <c r="K16" s="232"/>
      <c r="L16" s="2">
        <v>10</v>
      </c>
      <c r="M16" s="18" t="str">
        <f t="shared" si="0"/>
        <v>20 mm   -    4 inc+10+6 lam</v>
      </c>
      <c r="N16" s="1">
        <v>20</v>
      </c>
      <c r="O16" s="1" t="s">
        <v>64</v>
      </c>
      <c r="P16" s="2" t="s">
        <v>65</v>
      </c>
      <c r="R16" s="1" t="s">
        <v>38</v>
      </c>
      <c r="S16" s="1"/>
      <c r="T16" s="18" t="s">
        <v>39</v>
      </c>
      <c r="V16" s="2"/>
    </row>
    <row r="17" spans="2:24" ht="15" customHeight="1" x14ac:dyDescent="0.2">
      <c r="B17" s="342" t="s">
        <v>216</v>
      </c>
      <c r="C17" s="343"/>
      <c r="D17" s="186"/>
      <c r="E17" s="186"/>
      <c r="F17" s="186">
        <f>H13*2</f>
        <v>2</v>
      </c>
      <c r="G17" s="241">
        <f>C12+5</f>
        <v>2505</v>
      </c>
      <c r="H17" s="186" t="s">
        <v>75</v>
      </c>
      <c r="I17" s="186" t="s">
        <v>75</v>
      </c>
      <c r="J17" s="248" t="s">
        <v>76</v>
      </c>
      <c r="K17" s="232"/>
      <c r="L17" s="2">
        <v>12</v>
      </c>
      <c r="M17" s="2" t="s">
        <v>71</v>
      </c>
      <c r="N17" s="12">
        <v>22</v>
      </c>
      <c r="O17" s="1" t="s">
        <v>72</v>
      </c>
      <c r="P17" s="2" t="s">
        <v>73</v>
      </c>
      <c r="T17" s="18" t="s">
        <v>74</v>
      </c>
      <c r="V17" s="2"/>
    </row>
    <row r="18" spans="2:24" ht="15" customHeight="1" x14ac:dyDescent="0.2">
      <c r="B18" s="277" t="str">
        <f>B17</f>
        <v>MARCO TRIPLE RIEL S75</v>
      </c>
      <c r="C18" s="279"/>
      <c r="D18" s="43"/>
      <c r="E18" s="43"/>
      <c r="F18" s="43">
        <f>F17</f>
        <v>2</v>
      </c>
      <c r="G18" s="15">
        <f>B8+5</f>
        <v>1205</v>
      </c>
      <c r="H18" s="43" t="s">
        <v>75</v>
      </c>
      <c r="I18" s="43" t="s">
        <v>75</v>
      </c>
      <c r="J18" s="141" t="s">
        <v>77</v>
      </c>
      <c r="K18" s="232"/>
      <c r="L18" s="232"/>
      <c r="M18" s="232"/>
      <c r="N18" s="232"/>
      <c r="O18" s="232"/>
      <c r="P18" s="232"/>
      <c r="Q18" s="232"/>
      <c r="R18" s="232"/>
      <c r="S18" s="2" t="s">
        <v>78</v>
      </c>
      <c r="T18" s="2" t="s">
        <v>79</v>
      </c>
      <c r="U18" s="12" t="s">
        <v>32</v>
      </c>
      <c r="V18" s="2"/>
      <c r="W18" s="36" t="s">
        <v>80</v>
      </c>
      <c r="X18" s="36" t="s">
        <v>81</v>
      </c>
    </row>
    <row r="19" spans="2:24" ht="15" customHeight="1" x14ac:dyDescent="0.2">
      <c r="B19" s="260" t="s">
        <v>82</v>
      </c>
      <c r="C19" s="261"/>
      <c r="D19" s="43"/>
      <c r="E19" s="43"/>
      <c r="F19" s="43">
        <f>IF(H10=Z7,H10+1,IF(H10=Z6,H10*1))*H13</f>
        <v>4</v>
      </c>
      <c r="G19" s="15">
        <f>G17-85</f>
        <v>2420</v>
      </c>
      <c r="H19" s="43" t="s">
        <v>83</v>
      </c>
      <c r="I19" s="43" t="s">
        <v>83</v>
      </c>
      <c r="J19" s="141" t="s">
        <v>76</v>
      </c>
      <c r="K19" s="232"/>
      <c r="L19" s="232"/>
      <c r="M19" s="232"/>
      <c r="N19" s="232"/>
      <c r="O19" s="232"/>
      <c r="P19" s="232"/>
      <c r="Q19" s="232"/>
      <c r="R19" s="232"/>
      <c r="S19" s="2" t="s">
        <v>84</v>
      </c>
      <c r="T19" s="2" t="s">
        <v>85</v>
      </c>
      <c r="U19" s="12" t="s">
        <v>42</v>
      </c>
      <c r="W19" s="36" t="s">
        <v>86</v>
      </c>
      <c r="X19" s="36" t="s">
        <v>87</v>
      </c>
    </row>
    <row r="20" spans="2:24" ht="15" customHeight="1" x14ac:dyDescent="0.2">
      <c r="B20" s="260" t="s">
        <v>82</v>
      </c>
      <c r="C20" s="261"/>
      <c r="D20" s="43"/>
      <c r="E20" s="43"/>
      <c r="F20" s="43">
        <f>F19</f>
        <v>4</v>
      </c>
      <c r="G20" s="15">
        <f>G18-85</f>
        <v>1120</v>
      </c>
      <c r="H20" s="43" t="s">
        <v>83</v>
      </c>
      <c r="I20" s="43" t="s">
        <v>83</v>
      </c>
      <c r="J20" s="141" t="s">
        <v>77</v>
      </c>
      <c r="K20" s="232"/>
      <c r="L20" s="232"/>
      <c r="M20" s="232"/>
      <c r="N20" s="232"/>
      <c r="O20" s="232"/>
      <c r="P20" s="232"/>
      <c r="Q20" s="232"/>
      <c r="R20" s="232"/>
      <c r="S20" s="2" t="s">
        <v>88</v>
      </c>
      <c r="T20" s="2" t="s">
        <v>89</v>
      </c>
      <c r="U20" s="12" t="s">
        <v>44</v>
      </c>
      <c r="V20" s="2"/>
      <c r="W20" s="36" t="s">
        <v>90</v>
      </c>
      <c r="X20" s="36" t="s">
        <v>91</v>
      </c>
    </row>
    <row r="21" spans="2:24" ht="15" customHeight="1" x14ac:dyDescent="0.2">
      <c r="B21" s="260" t="s">
        <v>210</v>
      </c>
      <c r="C21" s="261"/>
      <c r="D21" s="43"/>
      <c r="E21" s="43"/>
      <c r="F21" s="43">
        <f>IF(H10=Z6,(H13*4),IF(H10=Z7,(H13*6)))</f>
        <v>6</v>
      </c>
      <c r="G21" s="15">
        <f>(C12-48-48+16)/3+70.33</f>
        <v>876.99666666666667</v>
      </c>
      <c r="H21" s="43" t="s">
        <v>75</v>
      </c>
      <c r="I21" s="43" t="s">
        <v>75</v>
      </c>
      <c r="J21" s="141" t="s">
        <v>218</v>
      </c>
      <c r="K21" s="232"/>
      <c r="L21" s="232"/>
      <c r="M21" s="232"/>
      <c r="N21" s="232"/>
      <c r="O21" s="232"/>
      <c r="P21" s="232"/>
      <c r="Q21" s="232"/>
      <c r="R21" s="232"/>
      <c r="S21" s="2" t="s">
        <v>94</v>
      </c>
      <c r="T21" s="2" t="s">
        <v>95</v>
      </c>
      <c r="U21" s="12" t="s">
        <v>25</v>
      </c>
      <c r="W21" s="36" t="s">
        <v>96</v>
      </c>
      <c r="X21" s="36" t="s">
        <v>97</v>
      </c>
    </row>
    <row r="22" spans="2:24" ht="15" customHeight="1" x14ac:dyDescent="0.25">
      <c r="B22" s="260" t="str">
        <f>B21</f>
        <v>HOJA CORREDERA 98</v>
      </c>
      <c r="C22" s="261"/>
      <c r="D22" s="43"/>
      <c r="E22" s="43"/>
      <c r="F22" s="43">
        <f>F21</f>
        <v>6</v>
      </c>
      <c r="G22" s="15">
        <f>B8-48-48+16+5</f>
        <v>1125</v>
      </c>
      <c r="H22" s="43" t="s">
        <v>75</v>
      </c>
      <c r="I22" s="43" t="s">
        <v>75</v>
      </c>
      <c r="J22" s="141" t="s">
        <v>212</v>
      </c>
      <c r="K22" s="232"/>
      <c r="L22" s="232"/>
      <c r="M22" s="232"/>
      <c r="N22" s="232"/>
      <c r="O22" s="232"/>
      <c r="P22" s="232"/>
      <c r="Q22" s="232"/>
      <c r="R22" s="232"/>
      <c r="S22" s="2" t="s">
        <v>99</v>
      </c>
      <c r="T22" s="2" t="s">
        <v>100</v>
      </c>
      <c r="U22" s="1" t="s">
        <v>50</v>
      </c>
      <c r="V22" s="2"/>
      <c r="W22" s="17" t="s">
        <v>101</v>
      </c>
      <c r="X22" s="36" t="s">
        <v>102</v>
      </c>
    </row>
    <row r="23" spans="2:24" ht="15" customHeight="1" x14ac:dyDescent="0.2">
      <c r="B23" s="260" t="str">
        <f>IF(G18 &gt;= 2500, "REFUERZO BOX CON INCLINACION","REFUERZO HOJA CORREDERA 98 2 MM")</f>
        <v>REFUERZO HOJA CORREDERA 98 2 MM</v>
      </c>
      <c r="C23" s="261"/>
      <c r="D23" s="43"/>
      <c r="E23" s="43"/>
      <c r="F23" s="43">
        <f>F22</f>
        <v>6</v>
      </c>
      <c r="G23" s="15">
        <f>G21-80-80-25</f>
        <v>691.99666666666667</v>
      </c>
      <c r="H23" s="43" t="s">
        <v>83</v>
      </c>
      <c r="I23" s="43" t="s">
        <v>83</v>
      </c>
      <c r="J23" s="141" t="s">
        <v>218</v>
      </c>
      <c r="K23" s="232"/>
      <c r="L23" s="232"/>
      <c r="M23" s="232"/>
      <c r="N23" s="232"/>
      <c r="O23" s="232"/>
      <c r="P23" s="232"/>
      <c r="Q23" s="232"/>
      <c r="R23" s="232"/>
      <c r="V23" s="2"/>
    </row>
    <row r="24" spans="2:24" ht="15" customHeight="1" x14ac:dyDescent="0.2">
      <c r="B24" s="260" t="str">
        <f>B23</f>
        <v>REFUERZO HOJA CORREDERA 98 2 MM</v>
      </c>
      <c r="C24" s="261"/>
      <c r="D24" s="43"/>
      <c r="E24" s="43"/>
      <c r="F24" s="43">
        <f>F23</f>
        <v>6</v>
      </c>
      <c r="G24" s="15">
        <f>G22-80-80-25</f>
        <v>940</v>
      </c>
      <c r="H24" s="43" t="s">
        <v>83</v>
      </c>
      <c r="I24" s="43" t="s">
        <v>83</v>
      </c>
      <c r="J24" s="141" t="s">
        <v>212</v>
      </c>
      <c r="K24" s="232"/>
      <c r="L24" s="232"/>
      <c r="M24" s="232"/>
      <c r="N24" s="232"/>
      <c r="O24" s="232"/>
      <c r="P24" s="232"/>
      <c r="Q24" s="232"/>
      <c r="R24" s="232"/>
      <c r="V24" s="13" t="s">
        <v>24</v>
      </c>
    </row>
    <row r="25" spans="2:24" ht="15" customHeight="1" x14ac:dyDescent="0.2">
      <c r="B25" s="277" t="s">
        <v>104</v>
      </c>
      <c r="C25" s="279"/>
      <c r="D25" s="43"/>
      <c r="E25" s="43"/>
      <c r="F25" s="43">
        <f>IF(G18&gt;=2300,4,0)</f>
        <v>0</v>
      </c>
      <c r="G25" s="15">
        <f>IF(F25&gt;=1,G22-80-80-25,0)</f>
        <v>0</v>
      </c>
      <c r="H25" s="43" t="s">
        <v>83</v>
      </c>
      <c r="I25" s="43" t="s">
        <v>83</v>
      </c>
      <c r="J25" s="141" t="s">
        <v>219</v>
      </c>
      <c r="K25" s="232"/>
      <c r="L25" s="232"/>
      <c r="M25" s="232"/>
      <c r="N25" s="232"/>
      <c r="O25" s="232"/>
      <c r="P25" s="232"/>
      <c r="Q25" s="232"/>
      <c r="R25" s="232"/>
      <c r="V25" s="13"/>
    </row>
    <row r="26" spans="2:24" ht="15" customHeight="1" x14ac:dyDescent="0.2">
      <c r="B26" s="260" t="s">
        <v>223</v>
      </c>
      <c r="C26" s="261"/>
      <c r="D26" s="43"/>
      <c r="E26" s="43"/>
      <c r="F26" s="43">
        <f>F18*2</f>
        <v>4</v>
      </c>
      <c r="G26" s="15">
        <f>G22-7</f>
        <v>1118</v>
      </c>
      <c r="H26" s="43" t="s">
        <v>83</v>
      </c>
      <c r="I26" s="43" t="s">
        <v>83</v>
      </c>
      <c r="J26" s="141" t="s">
        <v>107</v>
      </c>
      <c r="K26" s="232"/>
      <c r="L26" s="232"/>
      <c r="M26" s="232"/>
      <c r="N26" s="232"/>
      <c r="O26" s="232"/>
      <c r="P26" s="232"/>
      <c r="Q26" s="232"/>
      <c r="R26" s="232"/>
      <c r="S26" s="36" t="s">
        <v>108</v>
      </c>
      <c r="T26" s="36" t="s">
        <v>109</v>
      </c>
      <c r="V26" s="13" t="s">
        <v>31</v>
      </c>
    </row>
    <row r="27" spans="2:24" ht="15" customHeight="1" x14ac:dyDescent="0.2">
      <c r="B27" s="260" t="s">
        <v>110</v>
      </c>
      <c r="C27" s="261"/>
      <c r="D27" s="43"/>
      <c r="E27" s="43"/>
      <c r="F27" s="43">
        <f>H10*H13</f>
        <v>3</v>
      </c>
      <c r="G27" s="15">
        <f>C12-48-48-1</f>
        <v>2403</v>
      </c>
      <c r="H27" s="43" t="s">
        <v>75</v>
      </c>
      <c r="I27" s="43" t="s">
        <v>75</v>
      </c>
      <c r="J27" s="141" t="s">
        <v>111</v>
      </c>
      <c r="K27" s="232"/>
      <c r="L27" s="232"/>
      <c r="M27" s="232"/>
      <c r="N27" s="232"/>
      <c r="O27" s="232"/>
      <c r="P27" s="232"/>
      <c r="Q27" s="232"/>
      <c r="R27" s="232"/>
      <c r="S27" s="36" t="s">
        <v>112</v>
      </c>
      <c r="T27" s="36" t="s">
        <v>113</v>
      </c>
      <c r="V27" s="13" t="s">
        <v>41</v>
      </c>
    </row>
    <row r="28" spans="2:24" ht="15" customHeight="1" x14ac:dyDescent="0.2">
      <c r="B28" s="260" t="str">
        <f>VLOOKUP(C33,P3:T17,5,0)</f>
        <v>JUNQUILLO PARA TERMOPANEL 22-24 MM</v>
      </c>
      <c r="C28" s="261"/>
      <c r="D28" s="43"/>
      <c r="E28" s="43"/>
      <c r="F28" s="243">
        <f>F21</f>
        <v>6</v>
      </c>
      <c r="G28" s="15">
        <f>G21-80-80-5</f>
        <v>711.99666666666667</v>
      </c>
      <c r="H28" s="244" t="s">
        <v>75</v>
      </c>
      <c r="I28" s="244" t="s">
        <v>75</v>
      </c>
      <c r="J28" s="141" t="s">
        <v>218</v>
      </c>
      <c r="S28" s="36" t="s">
        <v>114</v>
      </c>
      <c r="T28" s="36" t="s">
        <v>115</v>
      </c>
    </row>
    <row r="29" spans="2:24" ht="15" customHeight="1" thickBot="1" x14ac:dyDescent="0.25">
      <c r="B29" s="311" t="str">
        <f>B28</f>
        <v>JUNQUILLO PARA TERMOPANEL 22-24 MM</v>
      </c>
      <c r="C29" s="312"/>
      <c r="D29" s="137"/>
      <c r="E29" s="137"/>
      <c r="F29" s="245">
        <f>F28</f>
        <v>6</v>
      </c>
      <c r="G29" s="137">
        <f>G22-80-80-5</f>
        <v>960</v>
      </c>
      <c r="H29" s="246" t="s">
        <v>75</v>
      </c>
      <c r="I29" s="246" t="s">
        <v>75</v>
      </c>
      <c r="J29" s="249" t="s">
        <v>212</v>
      </c>
      <c r="S29" s="36" t="s">
        <v>116</v>
      </c>
      <c r="T29" s="36" t="s">
        <v>117</v>
      </c>
    </row>
    <row r="30" spans="2:24" ht="15" customHeight="1" thickBot="1" x14ac:dyDescent="0.3">
      <c r="S30" s="17" t="s">
        <v>118</v>
      </c>
      <c r="T30" s="36" t="s">
        <v>119</v>
      </c>
    </row>
    <row r="31" spans="2:24" ht="18" customHeight="1" thickBot="1" x14ac:dyDescent="0.25">
      <c r="B31" s="117" t="str">
        <f>G11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4" ht="18" customHeight="1" x14ac:dyDescent="0.2">
      <c r="B32" s="120" t="s">
        <v>120</v>
      </c>
      <c r="C32" s="42" t="s">
        <v>121</v>
      </c>
      <c r="D32" s="42"/>
      <c r="E32" s="42"/>
      <c r="F32" s="42"/>
      <c r="G32" s="42" t="s">
        <v>122</v>
      </c>
      <c r="H32" s="42" t="s">
        <v>123</v>
      </c>
      <c r="I32" s="42" t="s">
        <v>124</v>
      </c>
      <c r="J32" s="121" t="s">
        <v>125</v>
      </c>
      <c r="S32" s="36" t="s">
        <v>126</v>
      </c>
      <c r="T32" s="36" t="s">
        <v>127</v>
      </c>
      <c r="V32" s="1"/>
      <c r="X32" s="13"/>
    </row>
    <row r="33" spans="1:24" ht="18" customHeight="1" thickBot="1" x14ac:dyDescent="0.25">
      <c r="B33" s="140" t="str">
        <f>H11</f>
        <v>22 mm   -    6 inc+10+6 lam</v>
      </c>
      <c r="C33" s="143" t="str">
        <f>VLOOKUP(N2,M3:P17,4,0)</f>
        <v>Termopanel 6 mm Incoloro + 10 mm + 6 mm Incoloro Laminado</v>
      </c>
      <c r="D33" s="144"/>
      <c r="E33" s="144"/>
      <c r="F33" s="145"/>
      <c r="G33" s="123">
        <f>G28-8</f>
        <v>703.99666666666667</v>
      </c>
      <c r="H33" s="123">
        <f>G29-8</f>
        <v>952</v>
      </c>
      <c r="I33" s="124">
        <f>H10*H13</f>
        <v>3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36" t="s">
        <v>129</v>
      </c>
      <c r="T33" s="36" t="s">
        <v>130</v>
      </c>
      <c r="V33" s="1"/>
      <c r="X33" s="13"/>
    </row>
    <row r="34" spans="1:24" ht="18" customHeight="1" thickBot="1" x14ac:dyDescent="0.25">
      <c r="S34" s="36" t="s">
        <v>131</v>
      </c>
      <c r="T34" s="36" t="s">
        <v>132</v>
      </c>
      <c r="V34" s="1"/>
      <c r="X34" s="13"/>
    </row>
    <row r="35" spans="1:24" ht="18" customHeight="1" thickBot="1" x14ac:dyDescent="0.3">
      <c r="B35" s="314" t="s">
        <v>66</v>
      </c>
      <c r="C35" s="315"/>
      <c r="D35" s="217"/>
      <c r="E35" s="217"/>
      <c r="F35" s="218" t="s">
        <v>67</v>
      </c>
      <c r="G35" s="207" t="s">
        <v>133</v>
      </c>
      <c r="H35" s="262" t="s">
        <v>134</v>
      </c>
      <c r="I35" s="263"/>
      <c r="J35" s="116" t="s">
        <v>124</v>
      </c>
      <c r="S35" s="17" t="s">
        <v>135</v>
      </c>
      <c r="T35" s="36" t="s">
        <v>136</v>
      </c>
    </row>
    <row r="36" spans="1:24" ht="18" customHeight="1" x14ac:dyDescent="0.2">
      <c r="B36" s="266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1000mm</v>
      </c>
      <c r="C36" s="267"/>
      <c r="D36" s="84"/>
      <c r="E36" s="41"/>
      <c r="F36" s="126">
        <f>H13*2</f>
        <v>2</v>
      </c>
      <c r="G36" s="214" t="s">
        <v>138</v>
      </c>
      <c r="H36" s="270" t="s">
        <v>139</v>
      </c>
      <c r="I36" s="270"/>
      <c r="J36" s="131">
        <f>F39*2</f>
        <v>12</v>
      </c>
      <c r="S36" s="36" t="s">
        <v>140</v>
      </c>
      <c r="T36" s="36" t="s">
        <v>141</v>
      </c>
    </row>
    <row r="37" spans="1:24" ht="18" customHeight="1" x14ac:dyDescent="0.2">
      <c r="B37" s="266" t="str">
        <f>IF(AND(H14&gt;=0,H14&lt;=60),'Hoja1 (2)'!D5,IF(AND(H14&gt;=60.1,H14&lt;=120),'Hoja1 (2)'!D6,IF(AND(H14&gt;=120.1,H14&lt;=230),'Hoja1 (2)'!D3,)))</f>
        <v>CARRO CELSUS 60 KG REGULABLE</v>
      </c>
      <c r="C37" s="267"/>
      <c r="D37" s="41"/>
      <c r="E37" s="41"/>
      <c r="F37" s="126">
        <f>H13*6</f>
        <v>6</v>
      </c>
      <c r="G37" s="214" t="s">
        <v>142</v>
      </c>
      <c r="H37" s="270" t="s">
        <v>143</v>
      </c>
      <c r="I37" s="270"/>
      <c r="J37" s="131">
        <f>IF(B36='Hoja1 (2)'!A10,2*'Dobleriel S75 simetrica hoja 80'!F36,IF(B36='Hoja1 (2)'!A11,4*'Dobleriel S75 simetrica hoja 80'!F36,IF(B36='Hoja1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S37" s="36" t="s">
        <v>144</v>
      </c>
      <c r="T37" s="36" t="s">
        <v>145</v>
      </c>
    </row>
    <row r="38" spans="1:24" ht="18" customHeight="1" x14ac:dyDescent="0.2">
      <c r="B38" s="266" t="str">
        <f>IF(H9='Hoja1 (2)'!T3,'Hoja1 (2)'!B3,IF(H9='Hoja1 (2)'!$T$4,'Hoja1 (2)'!B4,IF(H9='Hoja1 (2)'!T5,'Hoja1 (2)'!B4,IF(H9='Hoja1 (2)'!T6,'Hoja1 (2)'!B5,IF(H9='Hoja1 (2)'!T7,'Hoja1 (2)'!B5)))))</f>
        <v>MANILLA ALUMINIO VENTANA BLANCO</v>
      </c>
      <c r="C38" s="267"/>
      <c r="D38" s="41"/>
      <c r="E38" s="41"/>
      <c r="F38" s="126">
        <f>F36</f>
        <v>2</v>
      </c>
      <c r="G38" s="214" t="s">
        <v>146</v>
      </c>
      <c r="H38" s="270" t="s">
        <v>147</v>
      </c>
      <c r="I38" s="270"/>
      <c r="J38" s="132">
        <f>((B8/250)*2+(C12/250)*2+(B8/250)*6+(C12/250)*2)*H13</f>
        <v>78.400000000000006</v>
      </c>
      <c r="S38" s="36" t="s">
        <v>148</v>
      </c>
      <c r="T38" s="36" t="s">
        <v>149</v>
      </c>
    </row>
    <row r="39" spans="1:24" ht="18" customHeight="1" x14ac:dyDescent="0.2">
      <c r="B39" s="285" t="s">
        <v>150</v>
      </c>
      <c r="C39" s="270"/>
      <c r="D39" s="41"/>
      <c r="E39" s="41"/>
      <c r="F39" s="126">
        <f>IF(B36='Hoja1 (2)'!A10,1*2*H13,IF(B36='Hoja1 (2)'!A11,2*2*H13,IF(B36='Hoja1 (2)'!A12,2*2*H13,IF(B36='Hoja1 (2)'!A13,2*2*H13,IF(B36='Hoja1 (2)'!A14,3*2*H13,IF(B36='Hoja1 (2)'!A15,3*2*H13,IF(B36='Hoja1 (2)'!A16,3*2*H13,IF(B36='Hoja1 (2)'!A17,4*2*H13,IF(B36='Hoja1 (2)'!A18,4*2*H13,IF(B36='Hoja1 (2)'!A19,4*2*H13))))))))))</f>
        <v>6</v>
      </c>
      <c r="G39" s="214" t="s">
        <v>151</v>
      </c>
      <c r="H39" s="270" t="s">
        <v>152</v>
      </c>
      <c r="I39" s="270"/>
      <c r="J39" s="132">
        <f>((B8*2)/500+(C12*2)/500)*H13</f>
        <v>14.8</v>
      </c>
      <c r="S39" s="36" t="s">
        <v>153</v>
      </c>
      <c r="T39" s="36" t="s">
        <v>154</v>
      </c>
    </row>
    <row r="40" spans="1:24" ht="18" customHeight="1" x14ac:dyDescent="0.25">
      <c r="B40" s="266" t="s">
        <v>155</v>
      </c>
      <c r="C40" s="267"/>
      <c r="D40" s="41"/>
      <c r="E40" s="41"/>
      <c r="F40" s="126">
        <f>F36</f>
        <v>2</v>
      </c>
      <c r="G40" s="214" t="s">
        <v>156</v>
      </c>
      <c r="H40" s="270" t="s">
        <v>157</v>
      </c>
      <c r="I40" s="270"/>
      <c r="J40" s="131">
        <f>F41*2</f>
        <v>8</v>
      </c>
      <c r="S40" s="17" t="s">
        <v>158</v>
      </c>
      <c r="T40" s="36" t="s">
        <v>159</v>
      </c>
    </row>
    <row r="41" spans="1:24" ht="18" customHeight="1" x14ac:dyDescent="0.2">
      <c r="B41" s="266" t="str">
        <f>IF(H9='Hoja1 (2)'!T3,'Hoja1 (2)'!J7,IF(H9='Hoja1 (2)'!T4,'Hoja1 (2)'!J8,IF(H9='Hoja1 (2)'!T5,'Hoja1 (2)'!J8,IF(H9='Hoja1 (2)'!T6,'Hoja1 (2)'!J9,IF(H9='Hoja1 (2)'!T7,'Hoja1 (2)'!J9)))))</f>
        <v>TOPE ESTANCO S75 WINHOUSE BLANCO</v>
      </c>
      <c r="C41" s="267"/>
      <c r="D41" s="41"/>
      <c r="E41" s="41"/>
      <c r="F41" s="126">
        <f>H13*4</f>
        <v>4</v>
      </c>
      <c r="G41" s="214" t="s">
        <v>160</v>
      </c>
      <c r="H41" s="270" t="s">
        <v>157</v>
      </c>
      <c r="I41" s="270"/>
      <c r="J41" s="131">
        <f>IF(B37='Hoja1 (2)'!D4,'Dobleriel S75 simetrica hoja 80'!H13*6*5,'Dobleriel S75 simetrica hoja 80'!H13*6*2)</f>
        <v>12</v>
      </c>
    </row>
    <row r="42" spans="1:24" ht="18" customHeight="1" x14ac:dyDescent="0.2">
      <c r="B42" s="266" t="str">
        <f>IF(H9='Hoja1 (2)'!T3,'Hoja1 (2)'!J12,IF(H9='Hoja1 (2)'!T4,'Hoja1 (2)'!J13,IF(H9='Hoja1 (2)'!T5,'Hoja1 (2)'!J14,IF(H9='Hoja1 (2)'!T6,'Hoja1 (2)'!J16,IF(H9='Hoja1 (2)'!T7,'Hoja1 (2)'!J15)))))</f>
        <v>TAPA DESAGÜE BLANCO</v>
      </c>
      <c r="C42" s="267"/>
      <c r="D42" s="41"/>
      <c r="E42" s="41"/>
      <c r="F42" s="126">
        <f>IF(AND(C12&gt;=0,C12&lt;=800),H13*2,IF(AND(C12&gt;=801,C12&lt;=1500),H13*3,IF(C12&gt;=1501,H13*4)))</f>
        <v>4</v>
      </c>
      <c r="G42" s="214" t="s">
        <v>161</v>
      </c>
      <c r="H42" s="288" t="s">
        <v>162</v>
      </c>
      <c r="I42" s="288"/>
      <c r="J42" s="131">
        <f>F40*2</f>
        <v>4</v>
      </c>
      <c r="S42" s="36" t="s">
        <v>163</v>
      </c>
      <c r="T42" s="36" t="s">
        <v>164</v>
      </c>
    </row>
    <row r="43" spans="1:24" ht="18" customHeight="1" x14ac:dyDescent="0.2">
      <c r="B43" s="266" t="str">
        <f>IF(H9='Hoja1 (2)'!T3,'Hoja1 (2)'!J20,IF(H9='Hoja1 (2)'!T4,'Hoja1 (2)'!J21,IF(H9='Hoja1 (2)'!T5,'Hoja1 (2)'!J21,IF(H9='Hoja1 (2)'!T6,'Hoja1 (2)'!J24,IF(H9='Hoja1 (2)'!T7,'Hoja1 (2)'!J24)))))</f>
        <v xml:space="preserve">TAPA TORNILLO AMO 3 BLANCO </v>
      </c>
      <c r="C43" s="267"/>
      <c r="D43" s="41"/>
      <c r="E43" s="41"/>
      <c r="F43" s="127">
        <f>J39</f>
        <v>14.8</v>
      </c>
      <c r="G43" s="214" t="s">
        <v>165</v>
      </c>
      <c r="H43" s="288" t="s">
        <v>166</v>
      </c>
      <c r="I43" s="288"/>
      <c r="J43" s="131">
        <f>F38*2</f>
        <v>4</v>
      </c>
      <c r="S43" s="36" t="s">
        <v>167</v>
      </c>
      <c r="T43" s="36" t="s">
        <v>168</v>
      </c>
    </row>
    <row r="44" spans="1:24" ht="18" customHeight="1" thickBot="1" x14ac:dyDescent="0.25">
      <c r="B44" s="266" t="str">
        <f>IF(H9='Hoja1 (2)'!Q3,'Hoja1 (2)'!J28,'Hoja1 (2)'!J29)</f>
        <v xml:space="preserve">TOPE CORREDERA 90º BLANCO </v>
      </c>
      <c r="C44" s="267"/>
      <c r="D44" s="41"/>
      <c r="E44" s="41"/>
      <c r="F44" s="126">
        <f>H13*3</f>
        <v>3</v>
      </c>
      <c r="G44" s="215" t="s">
        <v>169</v>
      </c>
      <c r="H44" s="257" t="s">
        <v>170</v>
      </c>
      <c r="I44" s="257"/>
      <c r="J44" s="202">
        <f>F44*1</f>
        <v>3</v>
      </c>
      <c r="S44" s="36" t="s">
        <v>171</v>
      </c>
      <c r="T44" s="36" t="s">
        <v>172</v>
      </c>
    </row>
    <row r="45" spans="1:24" ht="18" customHeight="1" x14ac:dyDescent="0.2">
      <c r="B45" s="264" t="s">
        <v>173</v>
      </c>
      <c r="C45" s="265"/>
      <c r="D45" s="41"/>
      <c r="E45" s="41"/>
      <c r="F45" s="126">
        <f>H13*4</f>
        <v>4</v>
      </c>
      <c r="S45" s="36" t="s">
        <v>174</v>
      </c>
      <c r="T45" s="36" t="s">
        <v>175</v>
      </c>
    </row>
    <row r="46" spans="1:24" ht="18" customHeight="1" x14ac:dyDescent="0.25">
      <c r="A46" s="280"/>
      <c r="B46" s="258" t="s">
        <v>176</v>
      </c>
      <c r="C46" s="259"/>
      <c r="D46" s="41" t="s">
        <v>177</v>
      </c>
      <c r="E46" s="41"/>
      <c r="F46" s="128">
        <f>(((B8*8)+(C12*12))*H13)/1000</f>
        <v>39.6</v>
      </c>
      <c r="S46" s="17" t="s">
        <v>178</v>
      </c>
      <c r="T46" s="36" t="s">
        <v>179</v>
      </c>
    </row>
    <row r="47" spans="1:24" ht="18" customHeight="1" x14ac:dyDescent="0.2">
      <c r="A47" s="280"/>
      <c r="B47" s="266" t="str">
        <f>IF(H9='Hoja1 (2)'!T3,'Hoja1 (2)'!K4,IF(H9='Hoja1 (2)'!T4,'Hoja1 (2)'!K5,IF(H9='Hoja1 (2)'!T5,'Hoja1 (2)'!K6,IF(H9='Hoja1 (2)'!T6,'Hoja1 (2)'!K7,IF(H9='Hoja1 (2)'!T7,'Hoja1 (2)'!K3)))))</f>
        <v>SILICONA NEUTRA 300gr. BLANCO</v>
      </c>
      <c r="C47" s="267"/>
      <c r="D47" s="41" t="s">
        <v>137</v>
      </c>
      <c r="E47" s="41"/>
      <c r="F47" s="127">
        <f>((((B8*C12)/10000)*2)*0.7)/300*H13</f>
        <v>1.4</v>
      </c>
      <c r="S47" s="36" t="s">
        <v>180</v>
      </c>
      <c r="T47" s="36" t="s">
        <v>181</v>
      </c>
    </row>
    <row r="48" spans="1:24" ht="18" customHeight="1" x14ac:dyDescent="0.2">
      <c r="A48" s="280"/>
      <c r="B48" s="268" t="s">
        <v>182</v>
      </c>
      <c r="C48" s="269"/>
      <c r="D48" s="41" t="s">
        <v>137</v>
      </c>
      <c r="E48" s="41"/>
      <c r="F48" s="126">
        <f>H13*18</f>
        <v>18</v>
      </c>
      <c r="S48" s="36" t="s">
        <v>183</v>
      </c>
      <c r="T48" s="36" t="s">
        <v>184</v>
      </c>
    </row>
    <row r="49" spans="1:20" ht="18.649999999999999" customHeight="1" x14ac:dyDescent="0.2">
      <c r="A49" s="280"/>
      <c r="B49" s="286" t="s">
        <v>185</v>
      </c>
      <c r="C49" s="287"/>
      <c r="D49" s="41" t="s">
        <v>137</v>
      </c>
      <c r="E49" s="41"/>
      <c r="F49" s="126">
        <f>F48*1</f>
        <v>18</v>
      </c>
      <c r="S49" s="36" t="s">
        <v>186</v>
      </c>
      <c r="T49" s="36" t="s">
        <v>187</v>
      </c>
    </row>
    <row r="50" spans="1:20" ht="18" customHeight="1" x14ac:dyDescent="0.2">
      <c r="A50" s="280"/>
      <c r="B50" s="258" t="s">
        <v>188</v>
      </c>
      <c r="C50" s="259"/>
      <c r="D50" s="41" t="s">
        <v>137</v>
      </c>
      <c r="E50" s="41"/>
      <c r="F50" s="126">
        <f>1*F48</f>
        <v>18</v>
      </c>
      <c r="S50" s="36" t="s">
        <v>189</v>
      </c>
      <c r="T50" s="36" t="s">
        <v>190</v>
      </c>
    </row>
    <row r="51" spans="1:20" ht="16.399999999999999" customHeight="1" x14ac:dyDescent="0.25">
      <c r="A51" s="280"/>
      <c r="B51" s="258" t="s">
        <v>191</v>
      </c>
      <c r="C51" s="259"/>
      <c r="D51" s="41" t="s">
        <v>137</v>
      </c>
      <c r="E51" s="41"/>
      <c r="F51" s="126">
        <f>1*F48</f>
        <v>18</v>
      </c>
      <c r="S51" s="17" t="s">
        <v>192</v>
      </c>
      <c r="T51" s="36" t="s">
        <v>193</v>
      </c>
    </row>
    <row r="52" spans="1:20" ht="16.399999999999999" customHeight="1" x14ac:dyDescent="0.2">
      <c r="B52" s="266" t="str">
        <f>IF(B37='Hoja1 (2)'!D5,'Tripleriel S75 Simetrica H 98'!C54,IF('Tripleriel S75 Simetrica H 98'!B37:C37='Hoja1 (2)'!D6,'Tripleriel S75 Simetrica H 98'!C54,IF('Tripleriel S75 Simetrica H 98'!B37:C37='Hoja1 (2)'!D3,'Tripleriel S75 Simetrica H 98'!C55)))</f>
        <v>SUPLEMENTO CELSUS 16,5 MM + 18,5 MM.</v>
      </c>
      <c r="C52" s="267"/>
      <c r="D52" s="41" t="s">
        <v>137</v>
      </c>
      <c r="E52" s="41"/>
      <c r="F52" s="127">
        <f>H13*6</f>
        <v>6</v>
      </c>
      <c r="S52" s="36" t="s">
        <v>194</v>
      </c>
      <c r="T52" s="36" t="s">
        <v>195</v>
      </c>
    </row>
    <row r="53" spans="1:20" ht="15.65" customHeight="1" thickBot="1" x14ac:dyDescent="0.25">
      <c r="B53" s="306" t="s">
        <v>202</v>
      </c>
      <c r="C53" s="307"/>
      <c r="D53" s="129" t="s">
        <v>137</v>
      </c>
      <c r="E53" s="129"/>
      <c r="F53" s="130">
        <f>2</f>
        <v>2</v>
      </c>
      <c r="S53" s="36" t="s">
        <v>197</v>
      </c>
      <c r="T53" s="36" t="s">
        <v>198</v>
      </c>
    </row>
    <row r="54" spans="1:20" ht="15.65" hidden="1" customHeight="1" x14ac:dyDescent="0.2">
      <c r="C54" s="1" t="s">
        <v>214</v>
      </c>
      <c r="S54" s="36" t="s">
        <v>200</v>
      </c>
      <c r="T54" s="36" t="s">
        <v>201</v>
      </c>
    </row>
    <row r="55" spans="1:20" ht="16.75" hidden="1" customHeight="1" x14ac:dyDescent="0.2">
      <c r="C55" s="1" t="s">
        <v>215</v>
      </c>
      <c r="S55" s="36" t="s">
        <v>203</v>
      </c>
      <c r="T55" s="36" t="s">
        <v>204</v>
      </c>
    </row>
    <row r="56" spans="1:20" ht="15" customHeight="1" thickBot="1" x14ac:dyDescent="0.3">
      <c r="B56" s="306" t="s">
        <v>222</v>
      </c>
      <c r="C56" s="307"/>
      <c r="D56" s="129" t="s">
        <v>137</v>
      </c>
      <c r="E56" s="129"/>
      <c r="F56" s="130">
        <f>H13*8</f>
        <v>8</v>
      </c>
      <c r="S56" s="17" t="s">
        <v>205</v>
      </c>
      <c r="T56" s="36" t="s">
        <v>206</v>
      </c>
    </row>
    <row r="57" spans="1:20" ht="16.399999999999999" customHeight="1" x14ac:dyDescent="0.2"/>
    <row r="58" spans="1:20" ht="14.5" x14ac:dyDescent="0.35">
      <c r="T58"/>
    </row>
    <row r="59" spans="1:20" ht="130.75" customHeight="1" x14ac:dyDescent="0.35">
      <c r="T59"/>
    </row>
    <row r="60" spans="1:20" ht="128.5" customHeight="1" x14ac:dyDescent="0.35">
      <c r="T60"/>
    </row>
  </sheetData>
  <sheetProtection algorithmName="SHA-512" hashValue="4kXaZjJF5yOBbdXXx6vG5WNhK6WK1KZHzhjz/WioA1zpXTaTsAvJji82Zd8bjyq3au5W9ek+Rg8PRYApYqcD4Q==" saltValue="KqFxXLVvNlH6S4gwf825sQ==" spinCount="100000" sheet="1" objects="1" scenarios="1"/>
  <autoFilter ref="G5:J14" xr:uid="{00000000-0001-0000-0400-000000000000}">
    <filterColumn colId="0" showButton="0"/>
    <filterColumn colId="1" showButton="0"/>
    <filterColumn colId="2" showButton="0"/>
  </autoFilter>
  <dataConsolidate/>
  <mergeCells count="55">
    <mergeCell ref="B56:C56"/>
    <mergeCell ref="B53:C53"/>
    <mergeCell ref="B50:C50"/>
    <mergeCell ref="A46:A51"/>
    <mergeCell ref="B45:C45"/>
    <mergeCell ref="B46:C46"/>
    <mergeCell ref="B47:C47"/>
    <mergeCell ref="B48:C48"/>
    <mergeCell ref="B52:C52"/>
    <mergeCell ref="B51:C51"/>
    <mergeCell ref="B49:C49"/>
    <mergeCell ref="B40:C40"/>
    <mergeCell ref="B41:C41"/>
    <mergeCell ref="H11:I11"/>
    <mergeCell ref="H16:I16"/>
    <mergeCell ref="C4:C11"/>
    <mergeCell ref="B16:E16"/>
    <mergeCell ref="B17:C17"/>
    <mergeCell ref="H7:I7"/>
    <mergeCell ref="H2:J4"/>
    <mergeCell ref="B2:G2"/>
    <mergeCell ref="G5:J5"/>
    <mergeCell ref="B25:C25"/>
    <mergeCell ref="H36:I36"/>
    <mergeCell ref="H8:I8"/>
    <mergeCell ref="H9:I9"/>
    <mergeCell ref="H10:I10"/>
    <mergeCell ref="B38:C38"/>
    <mergeCell ref="H35:I35"/>
    <mergeCell ref="B23:C23"/>
    <mergeCell ref="B24:C24"/>
    <mergeCell ref="B26:C26"/>
    <mergeCell ref="B27:C27"/>
    <mergeCell ref="B28:C28"/>
    <mergeCell ref="H41:I41"/>
    <mergeCell ref="H40:I40"/>
    <mergeCell ref="H39:I39"/>
    <mergeCell ref="H38:I38"/>
    <mergeCell ref="H37:I37"/>
    <mergeCell ref="H44:I44"/>
    <mergeCell ref="B44:C44"/>
    <mergeCell ref="B18:C18"/>
    <mergeCell ref="B42:C42"/>
    <mergeCell ref="B43:C43"/>
    <mergeCell ref="B29:C29"/>
    <mergeCell ref="B35:C35"/>
    <mergeCell ref="H42:I42"/>
    <mergeCell ref="H43:I43"/>
    <mergeCell ref="B19:C19"/>
    <mergeCell ref="B20:C20"/>
    <mergeCell ref="B21:C21"/>
    <mergeCell ref="B22:C22"/>
    <mergeCell ref="B39:C39"/>
    <mergeCell ref="B36:C36"/>
    <mergeCell ref="B37:C37"/>
  </mergeCells>
  <conditionalFormatting sqref="S26:S29">
    <cfRule type="duplicateValues" dxfId="118" priority="29"/>
    <cfRule type="duplicateValues" dxfId="117" priority="31"/>
    <cfRule type="duplicateValues" dxfId="116" priority="32"/>
  </conditionalFormatting>
  <conditionalFormatting sqref="S32:S34 S36:S39">
    <cfRule type="duplicateValues" dxfId="115" priority="26"/>
  </conditionalFormatting>
  <conditionalFormatting sqref="S32:S34">
    <cfRule type="duplicateValues" dxfId="114" priority="52"/>
  </conditionalFormatting>
  <conditionalFormatting sqref="S42:S45 S47:S50 S52:S55">
    <cfRule type="duplicateValues" dxfId="113" priority="20"/>
  </conditionalFormatting>
  <conditionalFormatting sqref="S42:S45">
    <cfRule type="duplicateValues" dxfId="112" priority="17"/>
    <cfRule type="duplicateValues" dxfId="111" priority="19"/>
  </conditionalFormatting>
  <conditionalFormatting sqref="S59:S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{2100F60F-DF5C-4AC2-8448-59F5732EF0BC}</x14:id>
        </ext>
      </extLst>
    </cfRule>
  </conditionalFormatting>
  <conditionalFormatting sqref="S59:T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{8A537FC9-9E14-4FF9-913E-64C4820A2E6D}</x14:id>
        </ext>
      </extLst>
    </cfRule>
  </conditionalFormatting>
  <conditionalFormatting sqref="T26:T30">
    <cfRule type="duplicateValues" dxfId="110" priority="28"/>
    <cfRule type="duplicateValues" dxfId="109" priority="30"/>
    <cfRule type="duplicateValues" dxfId="108" priority="33"/>
  </conditionalFormatting>
  <conditionalFormatting sqref="T32:T40">
    <cfRule type="duplicateValues" dxfId="107" priority="50"/>
  </conditionalFormatting>
  <conditionalFormatting sqref="T42:T56">
    <cfRule type="duplicateValues" dxfId="106" priority="16"/>
    <cfRule type="duplicateValues" dxfId="105" priority="18"/>
    <cfRule type="duplicateValues" dxfId="104" priority="21"/>
  </conditionalFormatting>
  <conditionalFormatting sqref="T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{38DF690E-3BE6-495B-AF75-B37FCB41E99F}</x14:id>
        </ext>
      </extLst>
    </cfRule>
  </conditionalFormatting>
  <conditionalFormatting sqref="W18:W21">
    <cfRule type="duplicateValues" dxfId="103" priority="11"/>
    <cfRule type="duplicateValues" dxfId="102" priority="13"/>
    <cfRule type="duplicateValues" dxfId="101" priority="14"/>
  </conditionalFormatting>
  <conditionalFormatting sqref="X18:X22">
    <cfRule type="duplicateValues" dxfId="100" priority="10"/>
    <cfRule type="duplicateValues" dxfId="99" priority="12"/>
    <cfRule type="duplicateValues" dxfId="98" priority="15"/>
  </conditionalFormatting>
  <dataValidations count="1">
    <dataValidation type="list" allowBlank="1" showInputMessage="1" showErrorMessage="1" sqref="H11:I11" xr:uid="{00000000-0002-0000-0400-000001000000}">
      <formula1>$M$3:$M$17</formula1>
    </dataValidation>
  </dataValidations>
  <pageMargins left="0.7" right="0.7" top="0.75" bottom="0.75" header="0.3" footer="0.3"/>
  <pageSetup orientation="portrait" r:id="rId1"/>
  <ignoredErrors>
    <ignoredError sqref="F21" 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00F60F-DF5C-4AC2-8448-59F5732EF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S59:S60</xm:sqref>
        </x14:conditionalFormatting>
        <x14:conditionalFormatting xmlns:xm="http://schemas.microsoft.com/office/excel/2006/main">
          <x14:cfRule type="dataBar" id="{8A537FC9-9E14-4FF9-913E-64C4820A2E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S59:T60</xm:sqref>
        </x14:conditionalFormatting>
        <x14:conditionalFormatting xmlns:xm="http://schemas.microsoft.com/office/excel/2006/main">
          <x14:cfRule type="dataBar" id="{38DF690E-3BE6-495B-AF75-B37FCB41E9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'Hoja1 (2)'!$T$3:$T$7</xm:f>
          </x14:formula1>
          <xm:sqref>H9:I9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3"/>
  <sheetViews>
    <sheetView topLeftCell="A5" zoomScaleNormal="100" workbookViewId="0">
      <selection activeCell="D14" sqref="D14"/>
    </sheetView>
  </sheetViews>
  <sheetFormatPr baseColWidth="10" defaultColWidth="11.453125" defaultRowHeight="10" x14ac:dyDescent="0.2"/>
  <cols>
    <col min="1" max="1" width="4.1796875" style="2" customWidth="1"/>
    <col min="2" max="2" width="12.54296875" style="1" customWidth="1"/>
    <col min="3" max="5" width="13.54296875" style="1" customWidth="1"/>
    <col min="6" max="6" width="8.1796875" style="1" customWidth="1"/>
    <col min="7" max="7" width="13.54296875" style="1" customWidth="1"/>
    <col min="8" max="8" width="10.81640625" style="1" bestFit="1" customWidth="1"/>
    <col min="9" max="9" width="12" style="1" customWidth="1"/>
    <col min="10" max="10" width="21.1796875" style="1" customWidth="1"/>
    <col min="11" max="11" width="10.453125" style="2" customWidth="1"/>
    <col min="12" max="12" width="20.453125" style="2" hidden="1" customWidth="1"/>
    <col min="13" max="13" width="11.453125" style="2" hidden="1" customWidth="1"/>
    <col min="14" max="14" width="31.1796875" style="2" hidden="1" customWidth="1"/>
    <col min="15" max="15" width="11.453125" style="2" hidden="1" customWidth="1"/>
    <col min="16" max="16" width="16.453125" style="2" hidden="1" customWidth="1"/>
    <col min="17" max="17" width="4" style="2" hidden="1" customWidth="1"/>
    <col min="18" max="18" width="38" style="5" hidden="1" customWidth="1"/>
    <col min="19" max="21" width="11.453125" style="2" hidden="1" customWidth="1"/>
    <col min="22" max="22" width="17.81640625" style="2" hidden="1" customWidth="1"/>
    <col min="23" max="24" width="11.453125" style="2" hidden="1" customWidth="1"/>
    <col min="25" max="16384" width="11.453125" style="2"/>
  </cols>
  <sheetData>
    <row r="1" spans="2:22" ht="21" customHeight="1" thickBot="1" x14ac:dyDescent="0.25"/>
    <row r="2" spans="2:22" ht="39" customHeight="1" thickBot="1" x14ac:dyDescent="0.25">
      <c r="B2" s="353" t="s">
        <v>2</v>
      </c>
      <c r="C2" s="354"/>
      <c r="D2" s="354"/>
      <c r="E2" s="354"/>
      <c r="F2" s="354"/>
      <c r="G2" s="354"/>
      <c r="H2" s="354"/>
      <c r="I2" s="320"/>
      <c r="J2" s="290"/>
    </row>
    <row r="3" spans="2:22" ht="10.4" customHeight="1" thickBot="1" x14ac:dyDescent="0.25">
      <c r="C3" s="4"/>
      <c r="D3" s="2"/>
      <c r="I3" s="321"/>
      <c r="J3" s="292"/>
    </row>
    <row r="4" spans="2:22" ht="6" customHeight="1" thickBot="1" x14ac:dyDescent="0.25">
      <c r="B4" s="146"/>
      <c r="C4" s="147"/>
      <c r="D4" s="147"/>
      <c r="E4" s="147"/>
      <c r="F4" s="147"/>
      <c r="G4" s="147"/>
      <c r="H4" s="147"/>
      <c r="I4" s="321"/>
      <c r="J4" s="292"/>
      <c r="O4" s="1" t="s">
        <v>224</v>
      </c>
      <c r="P4" s="1"/>
      <c r="Q4" s="1"/>
      <c r="R4" s="18"/>
    </row>
    <row r="5" spans="2:22" ht="21" customHeight="1" thickBot="1" x14ac:dyDescent="0.25">
      <c r="B5" s="148"/>
      <c r="C5" s="298"/>
      <c r="D5" s="298"/>
      <c r="E5" s="298"/>
      <c r="G5" s="351" t="s">
        <v>13</v>
      </c>
      <c r="H5" s="352"/>
      <c r="I5" s="322"/>
      <c r="J5" s="324"/>
      <c r="K5" s="19"/>
      <c r="L5" s="19"/>
      <c r="O5" s="1" t="str">
        <f>H11</f>
        <v>19 mm   -    4 inc+10+5 inc</v>
      </c>
      <c r="P5" s="1"/>
      <c r="Q5" s="1"/>
      <c r="R5" s="18"/>
    </row>
    <row r="6" spans="2:22" ht="21" customHeight="1" x14ac:dyDescent="0.2">
      <c r="B6" s="149"/>
      <c r="C6" s="298"/>
      <c r="D6" s="298"/>
      <c r="E6" s="298"/>
      <c r="G6" s="10" t="s">
        <v>20</v>
      </c>
      <c r="H6" s="38" t="s">
        <v>21</v>
      </c>
      <c r="I6" s="9"/>
      <c r="J6" s="97"/>
      <c r="K6" s="19"/>
      <c r="L6" s="19"/>
      <c r="M6" s="2">
        <v>3.7</v>
      </c>
      <c r="N6" s="18" t="str">
        <f>P6&amp;" -    "&amp;O6&amp;" "&amp;"mm"</f>
        <v>Semilla -    3.7 mm</v>
      </c>
      <c r="O6" s="1" t="s">
        <v>3</v>
      </c>
      <c r="P6" s="1" t="s">
        <v>4</v>
      </c>
      <c r="Q6" s="1"/>
      <c r="R6" s="2" t="s">
        <v>5</v>
      </c>
      <c r="T6" s="1" t="s">
        <v>6</v>
      </c>
      <c r="U6" s="1"/>
      <c r="V6" s="18" t="s">
        <v>225</v>
      </c>
    </row>
    <row r="7" spans="2:22" ht="21" customHeight="1" x14ac:dyDescent="0.2">
      <c r="B7" s="150"/>
      <c r="C7" s="298"/>
      <c r="D7" s="298"/>
      <c r="E7" s="298"/>
      <c r="G7" s="55" t="s">
        <v>27</v>
      </c>
      <c r="H7" s="303" t="str">
        <f>D14&amp;"  "&amp;"mm"&amp;" "&amp;"x"&amp;" "&amp;B8&amp;" "&amp;"mm"</f>
        <v>2000  mm x 2300 mm</v>
      </c>
      <c r="I7" s="303"/>
      <c r="J7" s="99"/>
      <c r="L7" s="20"/>
      <c r="M7" s="2">
        <v>4</v>
      </c>
      <c r="N7" s="18" t="str">
        <f>O7&amp;" "&amp;"mm"&amp;"     -    "&amp;P7</f>
        <v>4 mm     -    Incoloro</v>
      </c>
      <c r="O7" s="1">
        <v>4</v>
      </c>
      <c r="P7" s="1" t="s">
        <v>8</v>
      </c>
      <c r="Q7" s="1"/>
      <c r="R7" s="2" t="s">
        <v>9</v>
      </c>
      <c r="T7" s="1" t="s">
        <v>6</v>
      </c>
      <c r="U7" s="1"/>
      <c r="V7" s="18" t="s">
        <v>10</v>
      </c>
    </row>
    <row r="8" spans="2:22" ht="21" customHeight="1" x14ac:dyDescent="0.2">
      <c r="B8" s="151">
        <v>2300</v>
      </c>
      <c r="C8" s="298"/>
      <c r="D8" s="298"/>
      <c r="E8" s="298"/>
      <c r="G8" s="55" t="s">
        <v>34</v>
      </c>
      <c r="H8" s="303" t="s">
        <v>35</v>
      </c>
      <c r="I8" s="303"/>
      <c r="J8" s="99"/>
      <c r="L8" s="20"/>
      <c r="M8" s="2">
        <v>4</v>
      </c>
      <c r="N8" s="18" t="str">
        <f>O8&amp;" "&amp;"mm"&amp;"     -    "&amp;P8</f>
        <v>4 mm     -    Saten</v>
      </c>
      <c r="O8" s="1">
        <v>4</v>
      </c>
      <c r="P8" s="1" t="s">
        <v>11</v>
      </c>
      <c r="Q8" s="1"/>
      <c r="R8" s="2" t="s">
        <v>12</v>
      </c>
      <c r="T8" s="1" t="s">
        <v>6</v>
      </c>
      <c r="U8" s="1"/>
      <c r="V8" s="18" t="s">
        <v>10</v>
      </c>
    </row>
    <row r="9" spans="2:22" ht="21" customHeight="1" x14ac:dyDescent="0.2">
      <c r="B9" s="152"/>
      <c r="C9" s="298"/>
      <c r="D9" s="298"/>
      <c r="E9" s="298"/>
      <c r="G9" s="55" t="s">
        <v>43</v>
      </c>
      <c r="H9" s="341" t="s">
        <v>32</v>
      </c>
      <c r="I9" s="341"/>
      <c r="J9" s="100"/>
      <c r="L9" s="20"/>
      <c r="M9" s="2">
        <v>5</v>
      </c>
      <c r="N9" s="18" t="str">
        <f>O9&amp;" "&amp;"mm"&amp;"     -    "&amp;P9</f>
        <v>5 mm     -    Incoloro</v>
      </c>
      <c r="O9" s="1">
        <v>5</v>
      </c>
      <c r="P9" s="1" t="s">
        <v>8</v>
      </c>
      <c r="Q9" s="1"/>
      <c r="R9" s="2" t="s">
        <v>14</v>
      </c>
      <c r="T9" s="1" t="s">
        <v>6</v>
      </c>
      <c r="U9" s="1"/>
      <c r="V9" s="18" t="s">
        <v>10</v>
      </c>
    </row>
    <row r="10" spans="2:22" ht="21" customHeight="1" x14ac:dyDescent="0.2">
      <c r="B10" s="149"/>
      <c r="C10" s="298"/>
      <c r="D10" s="298"/>
      <c r="E10" s="298"/>
      <c r="G10" s="55" t="s">
        <v>226</v>
      </c>
      <c r="H10" s="303" t="s">
        <v>227</v>
      </c>
      <c r="I10" s="303"/>
      <c r="J10" s="99"/>
      <c r="M10" s="2">
        <v>6</v>
      </c>
      <c r="N10" s="18" t="str">
        <f>O10&amp;" "&amp;"mm"&amp;"     -    "&amp;P10</f>
        <v>6 mm     -    Incoloro</v>
      </c>
      <c r="O10" s="1">
        <v>6</v>
      </c>
      <c r="P10" s="1" t="s">
        <v>8</v>
      </c>
      <c r="Q10" s="1"/>
      <c r="R10" s="2" t="s">
        <v>22</v>
      </c>
      <c r="T10" s="1" t="s">
        <v>6</v>
      </c>
      <c r="U10" s="1"/>
      <c r="V10" s="18" t="s">
        <v>10</v>
      </c>
    </row>
    <row r="11" spans="2:22" ht="21" customHeight="1" x14ac:dyDescent="0.2">
      <c r="B11" s="149"/>
      <c r="C11" s="298"/>
      <c r="D11" s="298"/>
      <c r="E11" s="298"/>
      <c r="G11" s="55" t="s">
        <v>51</v>
      </c>
      <c r="H11" s="295" t="s">
        <v>52</v>
      </c>
      <c r="I11" s="295"/>
      <c r="J11" s="102"/>
      <c r="K11" s="21"/>
      <c r="L11" s="22"/>
      <c r="M11" s="2">
        <v>6</v>
      </c>
      <c r="N11" s="18" t="str">
        <f>O11&amp;" "&amp;"mm"&amp;"     -    "&amp;P11</f>
        <v>6 mm     -    Laminado</v>
      </c>
      <c r="O11" s="1">
        <v>6</v>
      </c>
      <c r="P11" s="1" t="s">
        <v>28</v>
      </c>
      <c r="Q11" s="1"/>
      <c r="R11" s="2" t="s">
        <v>29</v>
      </c>
      <c r="T11" s="1" t="s">
        <v>6</v>
      </c>
      <c r="U11" s="1"/>
      <c r="V11" s="18" t="s">
        <v>10</v>
      </c>
    </row>
    <row r="12" spans="2:22" ht="14.5" customHeight="1" x14ac:dyDescent="0.2">
      <c r="B12" s="153"/>
      <c r="C12" s="298"/>
      <c r="D12" s="298"/>
      <c r="E12" s="298"/>
      <c r="G12" s="55" t="s">
        <v>55</v>
      </c>
      <c r="H12" s="7">
        <f>D14*B8/1000000</f>
        <v>4.5999999999999996</v>
      </c>
      <c r="I12" s="8" t="s">
        <v>228</v>
      </c>
      <c r="J12" s="102"/>
      <c r="L12" s="23"/>
      <c r="M12" s="2">
        <v>8</v>
      </c>
      <c r="N12" s="18" t="str">
        <f t="shared" ref="N12:N19" si="0">O12&amp;" "&amp;"mm"&amp;"   -    "&amp;P12</f>
        <v>18 mm   -    4 inc+10+4 inc</v>
      </c>
      <c r="O12" s="1">
        <v>18</v>
      </c>
      <c r="P12" s="1" t="s">
        <v>36</v>
      </c>
      <c r="Q12" s="1"/>
      <c r="R12" s="2" t="s">
        <v>37</v>
      </c>
      <c r="T12" s="1" t="s">
        <v>38</v>
      </c>
      <c r="U12" s="1"/>
      <c r="V12" s="18" t="s">
        <v>39</v>
      </c>
    </row>
    <row r="13" spans="2:22" ht="21" customHeight="1" x14ac:dyDescent="0.2">
      <c r="B13" s="154"/>
      <c r="C13" s="60">
        <v>500</v>
      </c>
      <c r="E13" s="61">
        <f>D14-C13</f>
        <v>1500</v>
      </c>
      <c r="G13" s="56" t="s">
        <v>59</v>
      </c>
      <c r="H13" s="53">
        <v>1</v>
      </c>
      <c r="I13" s="8" t="s">
        <v>60</v>
      </c>
      <c r="J13" s="102"/>
      <c r="M13" s="2">
        <v>8</v>
      </c>
      <c r="N13" s="18" t="str">
        <f t="shared" si="0"/>
        <v>18 mm   -    4 inc+10+4 sat</v>
      </c>
      <c r="O13" s="1">
        <v>18</v>
      </c>
      <c r="P13" s="1" t="s">
        <v>45</v>
      </c>
      <c r="Q13" s="1"/>
      <c r="R13" s="2" t="s">
        <v>46</v>
      </c>
      <c r="T13" s="1" t="s">
        <v>38</v>
      </c>
      <c r="U13" s="1"/>
      <c r="V13" s="18" t="s">
        <v>39</v>
      </c>
    </row>
    <row r="14" spans="2:22" ht="21" customHeight="1" x14ac:dyDescent="0.2">
      <c r="B14" s="95"/>
      <c r="D14" s="37">
        <v>2000</v>
      </c>
      <c r="G14" s="57" t="s">
        <v>229</v>
      </c>
      <c r="H14" s="54">
        <f>IF(H11=N6,((B8*C13/1000000)*M6*2.54*1.3),IF(H11=N7,((B8*C13/1000000)*M7*2.54*1.3),IF(H11=N8,((B8*C13/1000000)*M8*2.54*1.3),IF(H11=N9,((B8*C13/1000000)*M9*2.54*1.3),IF(H11=N10,((B8*C13/1000000)*M10*2.54*1.3),IF(H11=N11,((B8*C13/1000000)*M11*2.54*1.3),IF(H11=N12,((B8*C13/1000000)*M12*2.54*1.3),IF(H11=N13,((B8*C13/1000000)*M13*2.54*1.3),IF(H11=N14,((B8*C13/1000000)*M14*2.54*1.3),IF(H11=N15,((B8*C13/1000000)*M15*2.54*1.3),IF(H11=N17,((B8*C13/1000000)*M17*2.54*1.3),IF(H11=N18,((B8*C13/1000000)*M18*2.54*1.3),IF(H11=N19,((B8*C13/1000000)*M19*2.54*1.3),IF(H11=N20,((B8*C13/1000000)*M20*2.54*1.3)))))))))))))))</f>
        <v>34.175699999999999</v>
      </c>
      <c r="J14" s="155"/>
      <c r="M14" s="2">
        <v>10</v>
      </c>
      <c r="N14" s="18" t="str">
        <f t="shared" si="0"/>
        <v>18 mm   -    5 inc+8+5 inc</v>
      </c>
      <c r="O14" s="1">
        <v>18</v>
      </c>
      <c r="P14" s="1" t="s">
        <v>48</v>
      </c>
      <c r="Q14" s="1"/>
      <c r="R14" s="2" t="s">
        <v>49</v>
      </c>
      <c r="T14" s="1" t="s">
        <v>38</v>
      </c>
      <c r="U14" s="1"/>
      <c r="V14" s="18" t="s">
        <v>39</v>
      </c>
    </row>
    <row r="15" spans="2:22" ht="18.75" customHeight="1" thickBot="1" x14ac:dyDescent="0.25">
      <c r="B15" s="156"/>
      <c r="C15" s="157"/>
      <c r="D15" s="158"/>
      <c r="E15" s="159" t="str">
        <f>IF(AND(B8&gt;2300,C13&gt;4500),"VENTANA EXCEDE MAXIMO DE MEDIDAS RECOMENDADAS",IF(B8&gt;2300,"VENTANA EXCEDE ALTO MAXIMO RECOMENDADO",IF(C13&gt;4500,"HOJA DE VENTANA EXCEDE ANCHO MAXIMO RECOMENDADO"," ")))</f>
        <v xml:space="preserve"> </v>
      </c>
      <c r="F15" s="157"/>
      <c r="G15" s="108" t="s">
        <v>230</v>
      </c>
      <c r="H15" s="109">
        <f>IF(H11=N6,((B8*E13/1000000)*M6*2.54*1.3),IF(H11=N7,((B8*E13/1000000)*M7*2.54*1.3),IF(H11=N8,((B8*E13/1000000)*M8*2.54*1.3),IF(H11=N9,((B8*E13/1000000)*M9*2.54*1.3),IF(H11=N10,((B8*E13/1000000)*M10*2.54*1.3),IF(H11=N11,((B8*E13/1000000)*M11*2.54*1.3),IF(H11=N12,((B8*E13/1000000)*M12*2.54*1.3),IF(H11=N13,((B8*E13/1000000)*M13*2.54*1.3),IF(H11=N14,((B8*E13/1000000)*M14*2.54*1.3),IF(H11=N15,((B8*E13/1000000)*M15*2.54*1.3),IF(H11=N17,((B8*E13/1000000)*M17*2.54*1.3),IF(H11=N18,((B8*E13/1000000)*M18*2.54*1.3),IF(H11=N19,((B8*E13/1000000)*M19*2.54*1.3),IF(H11=N20,((B8*E13/1000000)*M20*2.54*1.3)))))))))))))))</f>
        <v>102.5271</v>
      </c>
      <c r="I15" s="157"/>
      <c r="J15" s="160"/>
      <c r="M15" s="2">
        <v>9</v>
      </c>
      <c r="N15" s="18" t="str">
        <f t="shared" si="0"/>
        <v>19 mm   -    4 inc+10+5 inc</v>
      </c>
      <c r="O15" s="1">
        <v>19</v>
      </c>
      <c r="P15" s="1" t="s">
        <v>53</v>
      </c>
      <c r="Q15" s="1"/>
      <c r="R15" s="2" t="s">
        <v>54</v>
      </c>
      <c r="T15" s="1" t="s">
        <v>38</v>
      </c>
      <c r="U15" s="1"/>
      <c r="V15" s="18" t="s">
        <v>39</v>
      </c>
    </row>
    <row r="16" spans="2:22" ht="18.75" customHeight="1" thickBot="1" x14ac:dyDescent="0.25">
      <c r="D16" s="25"/>
      <c r="E16" s="26"/>
      <c r="G16" s="89"/>
      <c r="H16" s="90"/>
      <c r="N16" s="18"/>
      <c r="O16" s="1"/>
      <c r="P16" s="1"/>
      <c r="Q16" s="1"/>
      <c r="R16" s="2"/>
      <c r="T16" s="1"/>
      <c r="U16" s="1"/>
      <c r="V16" s="18"/>
    </row>
    <row r="17" spans="2:22" s="3" customFormat="1" ht="21" customHeight="1" x14ac:dyDescent="0.2">
      <c r="B17" s="161"/>
      <c r="C17" s="355" t="s">
        <v>66</v>
      </c>
      <c r="D17" s="355"/>
      <c r="E17" s="355"/>
      <c r="F17" s="162" t="s">
        <v>67</v>
      </c>
      <c r="G17" s="162" t="s">
        <v>68</v>
      </c>
      <c r="H17" s="355" t="s">
        <v>69</v>
      </c>
      <c r="I17" s="355"/>
      <c r="J17" s="163" t="s">
        <v>70</v>
      </c>
      <c r="M17" s="27">
        <v>11</v>
      </c>
      <c r="N17" s="18" t="str">
        <f t="shared" si="0"/>
        <v>19 mm   -    5 inc+8+6 inc</v>
      </c>
      <c r="O17" s="1">
        <v>19</v>
      </c>
      <c r="P17" s="1" t="s">
        <v>57</v>
      </c>
      <c r="Q17" s="1"/>
      <c r="R17" s="2" t="s">
        <v>58</v>
      </c>
      <c r="S17" s="1"/>
      <c r="T17" s="1" t="s">
        <v>38</v>
      </c>
      <c r="U17" s="1"/>
      <c r="V17" s="18" t="s">
        <v>39</v>
      </c>
    </row>
    <row r="18" spans="2:22" ht="15" customHeight="1" x14ac:dyDescent="0.2">
      <c r="B18" s="164"/>
      <c r="C18" s="347" t="s">
        <v>231</v>
      </c>
      <c r="D18" s="347"/>
      <c r="E18" s="347"/>
      <c r="F18" s="87">
        <f>H13*2</f>
        <v>2</v>
      </c>
      <c r="G18" s="28">
        <f>D14+5</f>
        <v>2005</v>
      </c>
      <c r="H18" s="87" t="s">
        <v>75</v>
      </c>
      <c r="I18" s="87" t="s">
        <v>75</v>
      </c>
      <c r="J18" s="165" t="s">
        <v>76</v>
      </c>
      <c r="M18" s="2">
        <v>11</v>
      </c>
      <c r="N18" s="18" t="str">
        <f t="shared" si="0"/>
        <v>19 mm   -    5 inc+8+6 lam</v>
      </c>
      <c r="O18" s="1">
        <v>19</v>
      </c>
      <c r="P18" s="1" t="s">
        <v>61</v>
      </c>
      <c r="Q18" s="1"/>
      <c r="R18" s="2" t="s">
        <v>62</v>
      </c>
      <c r="T18" s="1" t="s">
        <v>38</v>
      </c>
      <c r="U18" s="1"/>
      <c r="V18" s="18" t="s">
        <v>39</v>
      </c>
    </row>
    <row r="19" spans="2:22" ht="15" customHeight="1" x14ac:dyDescent="0.2">
      <c r="B19" s="164"/>
      <c r="C19" s="347" t="s">
        <v>231</v>
      </c>
      <c r="D19" s="347"/>
      <c r="E19" s="347"/>
      <c r="F19" s="87">
        <f>F18</f>
        <v>2</v>
      </c>
      <c r="G19" s="28">
        <f>B8+5</f>
        <v>2305</v>
      </c>
      <c r="H19" s="87" t="s">
        <v>75</v>
      </c>
      <c r="I19" s="87" t="s">
        <v>75</v>
      </c>
      <c r="J19" s="165" t="s">
        <v>77</v>
      </c>
      <c r="M19" s="2">
        <v>10</v>
      </c>
      <c r="N19" s="18" t="str">
        <f t="shared" si="0"/>
        <v>20 mm   -    4 inc+10+6 lam</v>
      </c>
      <c r="O19" s="1">
        <v>20</v>
      </c>
      <c r="P19" s="1" t="s">
        <v>64</v>
      </c>
      <c r="Q19" s="1"/>
      <c r="R19" s="2" t="s">
        <v>65</v>
      </c>
      <c r="T19" s="1" t="s">
        <v>38</v>
      </c>
      <c r="U19" s="1"/>
      <c r="V19" s="18" t="s">
        <v>39</v>
      </c>
    </row>
    <row r="20" spans="2:22" ht="15" customHeight="1" x14ac:dyDescent="0.2">
      <c r="B20" s="166"/>
      <c r="C20" s="347" t="s">
        <v>82</v>
      </c>
      <c r="D20" s="347"/>
      <c r="E20" s="347"/>
      <c r="F20" s="87">
        <f>$H$13*2</f>
        <v>2</v>
      </c>
      <c r="G20" s="28">
        <f>G18-85</f>
        <v>1920</v>
      </c>
      <c r="H20" s="87" t="s">
        <v>83</v>
      </c>
      <c r="I20" s="87" t="s">
        <v>83</v>
      </c>
      <c r="J20" s="165" t="s">
        <v>76</v>
      </c>
      <c r="M20" s="2">
        <v>12</v>
      </c>
      <c r="N20" s="2" t="s">
        <v>71</v>
      </c>
      <c r="O20" s="12">
        <v>22</v>
      </c>
      <c r="P20" s="1" t="s">
        <v>72</v>
      </c>
      <c r="R20" s="2" t="s">
        <v>73</v>
      </c>
      <c r="T20" s="12" t="s">
        <v>232</v>
      </c>
      <c r="V20" s="18" t="s">
        <v>233</v>
      </c>
    </row>
    <row r="21" spans="2:22" ht="15" customHeight="1" x14ac:dyDescent="0.2">
      <c r="B21" s="166"/>
      <c r="C21" s="347" t="s">
        <v>82</v>
      </c>
      <c r="D21" s="347"/>
      <c r="E21" s="347"/>
      <c r="F21" s="87">
        <f>$H$13*2</f>
        <v>2</v>
      </c>
      <c r="G21" s="28">
        <f>G19-85</f>
        <v>2220</v>
      </c>
      <c r="H21" s="87" t="s">
        <v>83</v>
      </c>
      <c r="I21" s="87" t="s">
        <v>83</v>
      </c>
      <c r="J21" s="165" t="s">
        <v>77</v>
      </c>
      <c r="O21" s="1"/>
      <c r="Q21" s="1"/>
      <c r="R21" s="18" t="s">
        <v>225</v>
      </c>
      <c r="T21" s="1" t="s">
        <v>6</v>
      </c>
    </row>
    <row r="22" spans="2:22" ht="15" customHeight="1" x14ac:dyDescent="0.2">
      <c r="B22" s="164"/>
      <c r="C22" s="347" t="s">
        <v>217</v>
      </c>
      <c r="D22" s="347"/>
      <c r="E22" s="347"/>
      <c r="F22" s="87">
        <f>$H$13*2</f>
        <v>2</v>
      </c>
      <c r="G22" s="28">
        <f>(C13-48+8)+45</f>
        <v>505</v>
      </c>
      <c r="H22" s="87" t="s">
        <v>75</v>
      </c>
      <c r="I22" s="87" t="s">
        <v>75</v>
      </c>
      <c r="J22" s="165" t="s">
        <v>234</v>
      </c>
      <c r="O22" s="1"/>
      <c r="Q22" s="1"/>
      <c r="R22" s="18" t="s">
        <v>235</v>
      </c>
      <c r="T22" s="1" t="s">
        <v>38</v>
      </c>
    </row>
    <row r="23" spans="2:22" ht="15" customHeight="1" x14ac:dyDescent="0.2">
      <c r="B23" s="164"/>
      <c r="C23" s="347" t="s">
        <v>217</v>
      </c>
      <c r="D23" s="347"/>
      <c r="E23" s="347"/>
      <c r="F23" s="87">
        <f>$H$13*2</f>
        <v>2</v>
      </c>
      <c r="G23" s="28">
        <f>(E13-48+8)+45</f>
        <v>1505</v>
      </c>
      <c r="H23" s="87" t="s">
        <v>75</v>
      </c>
      <c r="I23" s="87" t="s">
        <v>75</v>
      </c>
      <c r="J23" s="165" t="s">
        <v>236</v>
      </c>
      <c r="R23" s="5" t="s">
        <v>237</v>
      </c>
      <c r="T23" s="2">
        <v>18291820</v>
      </c>
    </row>
    <row r="24" spans="2:22" ht="15" customHeight="1" x14ac:dyDescent="0.2">
      <c r="B24" s="164"/>
      <c r="C24" s="347" t="s">
        <v>217</v>
      </c>
      <c r="D24" s="347"/>
      <c r="E24" s="347"/>
      <c r="F24" s="87">
        <f>H13*4</f>
        <v>4</v>
      </c>
      <c r="G24" s="28">
        <f>B8-75</f>
        <v>2225</v>
      </c>
      <c r="H24" s="87" t="s">
        <v>75</v>
      </c>
      <c r="I24" s="87" t="s">
        <v>75</v>
      </c>
      <c r="J24" s="165" t="s">
        <v>212</v>
      </c>
    </row>
    <row r="25" spans="2:22" ht="15" customHeight="1" x14ac:dyDescent="0.2">
      <c r="B25" s="166"/>
      <c r="C25" s="347" t="s">
        <v>103</v>
      </c>
      <c r="D25" s="347"/>
      <c r="E25" s="347"/>
      <c r="F25" s="87">
        <f>$H$13*2</f>
        <v>2</v>
      </c>
      <c r="G25" s="28">
        <f>G22-149</f>
        <v>356</v>
      </c>
      <c r="H25" s="87" t="s">
        <v>83</v>
      </c>
      <c r="I25" s="87" t="s">
        <v>83</v>
      </c>
      <c r="J25" s="165" t="s">
        <v>234</v>
      </c>
    </row>
    <row r="26" spans="2:22" ht="15" customHeight="1" x14ac:dyDescent="0.2">
      <c r="B26" s="166"/>
      <c r="C26" s="347" t="str">
        <f>C25</f>
        <v>REF. NEW MULTIPLE 1,2</v>
      </c>
      <c r="D26" s="347"/>
      <c r="E26" s="347"/>
      <c r="F26" s="87">
        <f>$H$13*2</f>
        <v>2</v>
      </c>
      <c r="G26" s="28">
        <f>G23-149</f>
        <v>1356</v>
      </c>
      <c r="H26" s="87" t="s">
        <v>83</v>
      </c>
      <c r="I26" s="87" t="s">
        <v>83</v>
      </c>
      <c r="J26" s="165" t="s">
        <v>236</v>
      </c>
    </row>
    <row r="27" spans="2:22" ht="15" customHeight="1" x14ac:dyDescent="0.2">
      <c r="B27" s="166"/>
      <c r="C27" s="347" t="str">
        <f>C26</f>
        <v>REF. NEW MULTIPLE 1,2</v>
      </c>
      <c r="D27" s="347"/>
      <c r="E27" s="347"/>
      <c r="F27" s="87">
        <f>H13*4</f>
        <v>4</v>
      </c>
      <c r="G27" s="28">
        <f>G24-149</f>
        <v>2076</v>
      </c>
      <c r="H27" s="87" t="s">
        <v>83</v>
      </c>
      <c r="I27" s="87" t="s">
        <v>83</v>
      </c>
      <c r="J27" s="165" t="s">
        <v>212</v>
      </c>
    </row>
    <row r="28" spans="2:22" ht="15" customHeight="1" x14ac:dyDescent="0.2">
      <c r="B28" s="166"/>
      <c r="C28" s="356" t="s">
        <v>104</v>
      </c>
      <c r="D28" s="357"/>
      <c r="E28" s="358"/>
      <c r="F28" s="87">
        <f>IF(G19&gt;=2300,2,0)</f>
        <v>2</v>
      </c>
      <c r="G28" s="28">
        <f>IF(F28&gt;=1,G24-62-62-25,0)</f>
        <v>2076</v>
      </c>
      <c r="H28" s="87" t="s">
        <v>83</v>
      </c>
      <c r="I28" s="87" t="s">
        <v>83</v>
      </c>
      <c r="J28" s="165" t="s">
        <v>105</v>
      </c>
    </row>
    <row r="29" spans="2:22" ht="15" customHeight="1" x14ac:dyDescent="0.2">
      <c r="B29" s="164"/>
      <c r="C29" s="347" t="s">
        <v>106</v>
      </c>
      <c r="D29" s="347"/>
      <c r="E29" s="347"/>
      <c r="F29" s="87">
        <f>$H$13*2</f>
        <v>2</v>
      </c>
      <c r="G29" s="231">
        <f>G24-5</f>
        <v>2220</v>
      </c>
      <c r="H29" s="87" t="s">
        <v>83</v>
      </c>
      <c r="I29" s="87" t="s">
        <v>83</v>
      </c>
      <c r="J29" s="165" t="s">
        <v>238</v>
      </c>
    </row>
    <row r="30" spans="2:22" ht="15" customHeight="1" x14ac:dyDescent="0.2">
      <c r="B30" s="166"/>
      <c r="C30" s="350" t="str">
        <f>VLOOKUP(C37,R6:Y20,5,0)</f>
        <v>JUNQUILLO PARA TERMOPANEL 18-20 MM</v>
      </c>
      <c r="D30" s="350"/>
      <c r="E30" s="350"/>
      <c r="F30" s="88">
        <f>H13*2</f>
        <v>2</v>
      </c>
      <c r="G30" s="31">
        <f>G22-129</f>
        <v>376</v>
      </c>
      <c r="H30" s="88" t="s">
        <v>75</v>
      </c>
      <c r="I30" s="88" t="s">
        <v>75</v>
      </c>
      <c r="J30" s="167" t="s">
        <v>234</v>
      </c>
    </row>
    <row r="31" spans="2:22" ht="15" customHeight="1" x14ac:dyDescent="0.2">
      <c r="B31" s="166"/>
      <c r="C31" s="350" t="str">
        <f>VLOOKUP(C37,R6:Y20,5,0)</f>
        <v>JUNQUILLO PARA TERMOPANEL 18-20 MM</v>
      </c>
      <c r="D31" s="350"/>
      <c r="E31" s="350"/>
      <c r="F31" s="88">
        <f>H13*2</f>
        <v>2</v>
      </c>
      <c r="G31" s="31">
        <f>G23-129</f>
        <v>1376</v>
      </c>
      <c r="H31" s="88" t="s">
        <v>75</v>
      </c>
      <c r="I31" s="88" t="s">
        <v>75</v>
      </c>
      <c r="J31" s="167" t="s">
        <v>236</v>
      </c>
    </row>
    <row r="32" spans="2:22" ht="12.65" customHeight="1" x14ac:dyDescent="0.2">
      <c r="B32" s="166"/>
      <c r="C32" s="350" t="str">
        <f>VLOOKUP(C37,R6:Y20,5,0)</f>
        <v>JUNQUILLO PARA TERMOPANEL 18-20 MM</v>
      </c>
      <c r="D32" s="350"/>
      <c r="E32" s="350"/>
      <c r="F32" s="88">
        <f>$H$13*4</f>
        <v>4</v>
      </c>
      <c r="G32" s="31">
        <f>G24-129</f>
        <v>2096</v>
      </c>
      <c r="H32" s="88" t="s">
        <v>75</v>
      </c>
      <c r="I32" s="88" t="s">
        <v>75</v>
      </c>
      <c r="J32" s="167" t="s">
        <v>212</v>
      </c>
    </row>
    <row r="33" spans="2:12" ht="18" customHeight="1" thickBot="1" x14ac:dyDescent="0.25">
      <c r="B33" s="168"/>
      <c r="C33" s="349" t="s">
        <v>239</v>
      </c>
      <c r="D33" s="349"/>
      <c r="E33" s="349"/>
      <c r="F33" s="124">
        <f>H13*2</f>
        <v>2</v>
      </c>
      <c r="G33" s="169">
        <f>D14-48-48-1</f>
        <v>1903</v>
      </c>
      <c r="H33" s="124" t="s">
        <v>83</v>
      </c>
      <c r="I33" s="124" t="s">
        <v>83</v>
      </c>
      <c r="J33" s="125" t="s">
        <v>111</v>
      </c>
    </row>
    <row r="34" spans="2:12" ht="18" customHeight="1" thickBot="1" x14ac:dyDescent="0.25"/>
    <row r="35" spans="2:12" ht="18" customHeight="1" thickBot="1" x14ac:dyDescent="0.25">
      <c r="B35" s="117" t="str">
        <f>G11</f>
        <v>Vidrio:</v>
      </c>
      <c r="C35" s="118"/>
      <c r="D35" s="118"/>
      <c r="E35" s="118"/>
      <c r="F35" s="118"/>
      <c r="G35" s="118"/>
      <c r="H35" s="118"/>
      <c r="I35" s="118"/>
      <c r="J35" s="119"/>
      <c r="K35" s="29"/>
      <c r="L35" s="30"/>
    </row>
    <row r="36" spans="2:12" ht="18" customHeight="1" x14ac:dyDescent="0.2">
      <c r="B36" s="120" t="s">
        <v>120</v>
      </c>
      <c r="C36" s="348" t="s">
        <v>121</v>
      </c>
      <c r="D36" s="348"/>
      <c r="E36" s="348"/>
      <c r="F36" s="348"/>
      <c r="G36" s="42" t="s">
        <v>122</v>
      </c>
      <c r="H36" s="42" t="s">
        <v>123</v>
      </c>
      <c r="I36" s="42" t="s">
        <v>124</v>
      </c>
      <c r="J36" s="121" t="s">
        <v>125</v>
      </c>
    </row>
    <row r="37" spans="2:12" ht="18" customHeight="1" x14ac:dyDescent="0.2">
      <c r="B37" s="166" t="str">
        <f>VLOOKUP($H$11,$N$6:$R$20,3,0)</f>
        <v>4 inc+10+5 inc</v>
      </c>
      <c r="C37" s="347" t="str">
        <f>VLOOKUP(O5,N6:R20,5,0)</f>
        <v>Termopanel 4 mm Incoloro + 10 mm + 5 mm Incoloro</v>
      </c>
      <c r="D37" s="347"/>
      <c r="E37" s="347"/>
      <c r="F37" s="347"/>
      <c r="G37" s="11">
        <f>G22-135</f>
        <v>370</v>
      </c>
      <c r="H37" s="11">
        <f>G24-135</f>
        <v>2090</v>
      </c>
      <c r="I37" s="87">
        <v>1</v>
      </c>
      <c r="J37" s="165" t="s">
        <v>240</v>
      </c>
    </row>
    <row r="38" spans="2:12" ht="18" customHeight="1" thickBot="1" x14ac:dyDescent="0.25">
      <c r="B38" s="122" t="str">
        <f>VLOOKUP($H$11,$N$6:$R$20,3,0)</f>
        <v>4 inc+10+5 inc</v>
      </c>
      <c r="C38" s="349" t="str">
        <f>VLOOKUP(O5,N6:R20,5,0)</f>
        <v>Termopanel 4 mm Incoloro + 10 mm + 5 mm Incoloro</v>
      </c>
      <c r="D38" s="349"/>
      <c r="E38" s="349"/>
      <c r="F38" s="349"/>
      <c r="G38" s="123">
        <f>G23-135</f>
        <v>1370</v>
      </c>
      <c r="H38" s="123">
        <f>G24-135</f>
        <v>2090</v>
      </c>
      <c r="I38" s="124">
        <v>1</v>
      </c>
      <c r="J38" s="125" t="s">
        <v>241</v>
      </c>
    </row>
    <row r="39" spans="2:12" ht="18" customHeight="1" thickBot="1" x14ac:dyDescent="0.25"/>
    <row r="40" spans="2:12" ht="18" customHeight="1" thickBot="1" x14ac:dyDescent="0.25">
      <c r="B40" s="272" t="s">
        <v>66</v>
      </c>
      <c r="C40" s="273"/>
      <c r="D40" s="273"/>
      <c r="E40" s="226" t="s">
        <v>70</v>
      </c>
      <c r="F40" s="224" t="s">
        <v>67</v>
      </c>
      <c r="G40" s="207" t="s">
        <v>133</v>
      </c>
      <c r="H40" s="262" t="s">
        <v>134</v>
      </c>
      <c r="I40" s="263"/>
      <c r="J40" s="116" t="s">
        <v>124</v>
      </c>
    </row>
    <row r="41" spans="2:12" ht="18" customHeight="1" x14ac:dyDescent="0.2">
      <c r="B41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2000MM</v>
      </c>
      <c r="C41" s="276"/>
      <c r="D41" s="276"/>
      <c r="E41" s="177"/>
      <c r="F41" s="170">
        <f>H13*2</f>
        <v>2</v>
      </c>
      <c r="G41" s="219" t="s">
        <v>138</v>
      </c>
      <c r="H41" s="284" t="s">
        <v>139</v>
      </c>
      <c r="I41" s="284"/>
      <c r="J41" s="170">
        <f>F45*2</f>
        <v>16</v>
      </c>
    </row>
    <row r="42" spans="2:12" ht="18" customHeight="1" x14ac:dyDescent="0.2">
      <c r="B42" s="266" t="str">
        <f>IF(AND(H14&gt;=0,H14&lt;=60),'Hoja1 (2)'!D5,IF(AND(H14&gt;=60.1,H14&lt;=120),'Hoja1 (2)'!D6,IF(AND(H14&gt;=120.1,H14&lt;=230),'Hoja1 (2)'!D3,)))</f>
        <v>CARRO CELSUS 60 KG REGULABLE</v>
      </c>
      <c r="C42" s="267"/>
      <c r="D42" s="267"/>
      <c r="E42" s="41" t="s">
        <v>242</v>
      </c>
      <c r="F42" s="126">
        <f>H13*2</f>
        <v>2</v>
      </c>
      <c r="G42" s="214" t="s">
        <v>142</v>
      </c>
      <c r="H42" s="270" t="s">
        <v>143</v>
      </c>
      <c r="I42" s="270"/>
      <c r="J42" s="131">
        <f>IF(B41='Hoja1 (2)'!A10,2*'Dobleriel S75asimetrica hoja 80'!F41,IF(B41='Hoja1 (2)'!A11,4*'Dobleriel S75asimetrica hoja 80'!F41,IF(B41='Hoja1 (2)'!A12,8*'Dobleriel S75asimetrica hoja 80'!F41,IF(B41='Hoja1 (2)'!A13,8*'Dobleriel S75asimetrica hoja 80'!F41,IF(B41='Hoja1 (2)'!A14,8*'Dobleriel S75asimetrica hoja 80'!F41,IF(B41='Hoja1 (2)'!A15,10*'Dobleriel S75asimetrica hoja 80'!F41,IF(B41='Hoja1 (2)'!A16,10*'Dobleriel S75asimetrica hoja 80'!F41,IF(B41='Hoja1 (2)'!A17,12*'Dobleriel S75asimetrica hoja 80'!F41,IF(B41='Hoja1 (2)'!A18,12*'Dobleriel S75asimetrica hoja 80'!F41,IF(B41='Hoja1 (2)'!A19,12*'Dobleriel S75asimetrica hoja 80'!F41))))))))))</f>
        <v>24</v>
      </c>
    </row>
    <row r="43" spans="2:12" ht="18" customHeight="1" x14ac:dyDescent="0.2">
      <c r="B43" s="266" t="str">
        <f>IF(AND(H15&gt;=0,H15&lt;=60),'Hoja1 (2)'!D5,IF(AND(H15&gt;=60.1,H15&lt;=120),'Hoja1 (2)'!D6,IF(AND(H15&gt;=120.1,'Dobleriel S75 simetrica hoja 80'!E45&lt;=230),'Hoja1 (2)'!D3,)))</f>
        <v>CARRO CELSUS 120 KG REGULABLE</v>
      </c>
      <c r="C43" s="267"/>
      <c r="D43" s="267"/>
      <c r="E43" s="41" t="s">
        <v>243</v>
      </c>
      <c r="F43" s="126">
        <f>H13*2</f>
        <v>2</v>
      </c>
      <c r="G43" s="214" t="s">
        <v>146</v>
      </c>
      <c r="H43" s="270" t="s">
        <v>244</v>
      </c>
      <c r="I43" s="270"/>
      <c r="J43" s="132">
        <f>((B8/250)*2+(D14/250)*2+(B8/250)*4+(D14/250)*2)*H13</f>
        <v>87.199999999999989</v>
      </c>
    </row>
    <row r="44" spans="2:12" ht="18" customHeight="1" x14ac:dyDescent="0.2">
      <c r="B44" s="266" t="str">
        <f>IF(H9='Hoja1 (2)'!$V$3,'Hoja1 (2)'!B3,IF(H9='Hoja1 (2)'!$V$4,'Hoja1 (2)'!$B$4,IF(H9='Hoja1 (2)'!$V$5,'Hoja1 (2)'!B4,IF(H9='Hoja1 (2)'!$V$6,'Hoja1 (2)'!B5,IF(H9='Hoja1 (2)'!$V$7,'Hoja1 (2)'!B5)))))</f>
        <v>MANILLA ALUMINIO VENTANA BLANCO</v>
      </c>
      <c r="C44" s="267"/>
      <c r="D44" s="267"/>
      <c r="E44" s="41"/>
      <c r="F44" s="126">
        <f>F41</f>
        <v>2</v>
      </c>
      <c r="G44" s="214" t="s">
        <v>151</v>
      </c>
      <c r="H44" s="270" t="s">
        <v>152</v>
      </c>
      <c r="I44" s="270"/>
      <c r="J44" s="132">
        <f>((B8*2)/500+(D14*2)/500)*H13</f>
        <v>17.2</v>
      </c>
    </row>
    <row r="45" spans="2:12" ht="18" customHeight="1" x14ac:dyDescent="0.2">
      <c r="B45" s="285" t="s">
        <v>150</v>
      </c>
      <c r="C45" s="270"/>
      <c r="D45" s="270"/>
      <c r="E45" s="41"/>
      <c r="F45" s="126">
        <f>IF(B41='Hoja1 (2)'!A10,1*2*H13,IF(B41='Hoja1 (2)'!A11,2*2*H13,IF(B41='Hoja1 (2)'!A12,2*2*H13,IF(B41='Hoja1 (2)'!A13,2*2*H13,IF(B41='Hoja1 (2)'!A14,3*2*H13,IF(B41='Hoja1 (2)'!A15,3*2*H13,IF(B41='Hoja1 (2)'!A16,3*2*H13,IF(B41='Hoja1 (2)'!A17,4*2*H13,IF(B41='Hoja1 (2)'!A18,4*2*H13,IF(B41='Hoja1 (2)'!A19,4*2*H13))))))))))</f>
        <v>8</v>
      </c>
      <c r="G45" s="214" t="s">
        <v>156</v>
      </c>
      <c r="H45" s="270" t="s">
        <v>157</v>
      </c>
      <c r="I45" s="270"/>
      <c r="J45" s="126">
        <f>F47*2</f>
        <v>4</v>
      </c>
    </row>
    <row r="46" spans="2:12" ht="18" customHeight="1" x14ac:dyDescent="0.2">
      <c r="B46" s="266" t="s">
        <v>155</v>
      </c>
      <c r="C46" s="267"/>
      <c r="D46" s="267"/>
      <c r="E46" s="41"/>
      <c r="F46" s="126">
        <f>F41</f>
        <v>2</v>
      </c>
      <c r="G46" s="216" t="s">
        <v>160</v>
      </c>
      <c r="H46" s="271" t="s">
        <v>157</v>
      </c>
      <c r="I46" s="271"/>
      <c r="J46" s="203">
        <f>IF(B42='Hoja1 (2)'!D4,H13*2*5,H13*2*2)+H13*5*2</f>
        <v>14</v>
      </c>
    </row>
    <row r="47" spans="2:12" ht="18" customHeight="1" x14ac:dyDescent="0.2">
      <c r="B47" s="266" t="str">
        <f>IF(H9='Hoja1 (2)'!$V$3,'Hoja1 (2)'!J7,IF(H9='Hoja1 (2)'!$V$4,'Hoja1 (2)'!J8,IF(H9='Hoja1 (2)'!$V$5,'Hoja1 (2)'!J8,IF(H9='Hoja1 (2)'!$V$6,'Hoja1 (2)'!J9,IF(H9='Hoja1 (2)'!$V$7,'Hoja1 (2)'!J9)))))</f>
        <v>TOPE ESTANCO S75 WINHOUSE BLANCO</v>
      </c>
      <c r="C47" s="267"/>
      <c r="D47" s="267"/>
      <c r="E47" s="41"/>
      <c r="F47" s="126">
        <f>H13*2</f>
        <v>2</v>
      </c>
      <c r="G47" s="214" t="s">
        <v>161</v>
      </c>
      <c r="H47" s="288" t="s">
        <v>162</v>
      </c>
      <c r="I47" s="288"/>
      <c r="J47" s="131">
        <f>F46*2</f>
        <v>4</v>
      </c>
    </row>
    <row r="48" spans="2:12" ht="18" customHeight="1" x14ac:dyDescent="0.2">
      <c r="B48" s="266" t="str">
        <f>IF(H9='Hoja1 (2)'!V3,'Hoja1 (2)'!J12,IF(H9='Hoja1 (2)'!V4,'Hoja1 (2)'!J13,IF(H9='Hoja1 (2)'!V5,'Hoja1 (2)'!J14,IF(H9='Hoja1 (2)'!V6,'Hoja1 (2)'!J16,IF(H9='Hoja1 (2)'!V7,'Hoja1 (2)'!J15)))))</f>
        <v>TAPA DESAGÜE BLANCO</v>
      </c>
      <c r="C48" s="267"/>
      <c r="D48" s="267"/>
      <c r="E48" s="41"/>
      <c r="F48" s="126">
        <f>IF(AND(D14&gt;=0,D14&lt;=800),H13*2,IF(AND(D14&gt;=801,D14&lt;=1500),H13*3,IF(D14&gt;=1501,H13*4)))</f>
        <v>4</v>
      </c>
      <c r="G48" s="214" t="s">
        <v>165</v>
      </c>
      <c r="H48" s="288" t="s">
        <v>166</v>
      </c>
      <c r="I48" s="288"/>
      <c r="J48" s="131">
        <f>F44*2</f>
        <v>4</v>
      </c>
    </row>
    <row r="49" spans="1:10" ht="18" customHeight="1" thickBot="1" x14ac:dyDescent="0.25">
      <c r="B49" s="266" t="str">
        <f>IF(H9='Hoja1 (2)'!V3,'Hoja1 (2)'!J20,IF(H9='Hoja1 (2)'!V4,'Hoja1 (2)'!J21,IF(H9='Hoja1 (2)'!V5,'Hoja1 (2)'!J21,IF(H9='Hoja1 (2)'!V6,'Hoja1 (2)'!J24,IF(H9='Hoja1 (2)'!V7,'Hoja1 (2)'!J24)))))</f>
        <v xml:space="preserve">TAPA TORNILLO AMO 3 BLANCO </v>
      </c>
      <c r="C49" s="267"/>
      <c r="D49" s="267"/>
      <c r="E49" s="41"/>
      <c r="F49" s="127">
        <f>J44</f>
        <v>17.2</v>
      </c>
      <c r="G49" s="215" t="s">
        <v>169</v>
      </c>
      <c r="H49" s="257" t="s">
        <v>170</v>
      </c>
      <c r="I49" s="257"/>
      <c r="J49" s="202">
        <f>F50*1</f>
        <v>2</v>
      </c>
    </row>
    <row r="50" spans="1:10" ht="18" customHeight="1" x14ac:dyDescent="0.2">
      <c r="B50" s="266" t="str">
        <f>IF(H9='Hoja1 (2)'!Q3,'Hoja1 (2)'!J28,'Hoja1 (2)'!J27)</f>
        <v xml:space="preserve">TOPE CORREDERA 90º BLANCO </v>
      </c>
      <c r="C50" s="267"/>
      <c r="D50" s="267"/>
      <c r="E50" s="41"/>
      <c r="F50" s="126">
        <f>H13*2</f>
        <v>2</v>
      </c>
      <c r="G50" s="2"/>
    </row>
    <row r="51" spans="1:10" ht="19.399999999999999" customHeight="1" x14ac:dyDescent="0.2">
      <c r="B51" s="264" t="s">
        <v>173</v>
      </c>
      <c r="C51" s="265"/>
      <c r="D51" s="265"/>
      <c r="E51" s="41"/>
      <c r="F51" s="126">
        <f>F41*2</f>
        <v>4</v>
      </c>
      <c r="G51" s="2"/>
    </row>
    <row r="52" spans="1:10" ht="17.5" customHeight="1" x14ac:dyDescent="0.2">
      <c r="A52" s="280"/>
      <c r="B52" s="258" t="s">
        <v>176</v>
      </c>
      <c r="C52" s="259"/>
      <c r="D52" s="259"/>
      <c r="E52" s="41" t="s">
        <v>177</v>
      </c>
      <c r="F52" s="128">
        <f>(((B8*6)+(D14*8))*H13)/1000</f>
        <v>29.8</v>
      </c>
      <c r="G52" s="2"/>
    </row>
    <row r="53" spans="1:10" ht="16.75" customHeight="1" x14ac:dyDescent="0.2">
      <c r="A53" s="280"/>
      <c r="B53" s="266" t="str">
        <f>IF(H9='Hoja1 (2)'!V3,'Hoja1 (2)'!K4,IF(H9='Hoja1 (2)'!V4,'Hoja1 (2)'!K5,IF(H9='Hoja1 (2)'!V5,'Hoja1 (2)'!K6,IF(H9='Hoja1 (2)'!V6,'Hoja1 (2)'!K7,IF(H9='Hoja1 (2)'!V7,'Hoja1 (2)'!K3)))))</f>
        <v>SILICONA NEUTRA 300gr. BLANCO</v>
      </c>
      <c r="C53" s="267"/>
      <c r="D53" s="267"/>
      <c r="E53" s="41" t="s">
        <v>137</v>
      </c>
      <c r="F53" s="127">
        <f>((((B8*D14)/10000)*2)*0.7)/300*H13</f>
        <v>2.1466666666666665</v>
      </c>
      <c r="G53" s="2"/>
    </row>
    <row r="54" spans="1:10" ht="16.75" customHeight="1" x14ac:dyDescent="0.2">
      <c r="A54" s="280"/>
      <c r="B54" s="268" t="s">
        <v>182</v>
      </c>
      <c r="C54" s="269"/>
      <c r="D54" s="269"/>
      <c r="E54" s="41" t="s">
        <v>137</v>
      </c>
      <c r="F54" s="126">
        <f>H13*12</f>
        <v>12</v>
      </c>
      <c r="G54" s="2"/>
    </row>
    <row r="55" spans="1:10" ht="17.5" customHeight="1" x14ac:dyDescent="0.2">
      <c r="A55" s="280"/>
      <c r="B55" s="286" t="s">
        <v>185</v>
      </c>
      <c r="C55" s="287"/>
      <c r="D55" s="287"/>
      <c r="E55" s="41" t="s">
        <v>137</v>
      </c>
      <c r="F55" s="126">
        <f>F54</f>
        <v>12</v>
      </c>
      <c r="G55" s="2"/>
    </row>
    <row r="56" spans="1:10" ht="16.75" customHeight="1" x14ac:dyDescent="0.2">
      <c r="A56" s="280"/>
      <c r="B56" s="258" t="s">
        <v>188</v>
      </c>
      <c r="C56" s="259"/>
      <c r="D56" s="259"/>
      <c r="E56" s="41" t="s">
        <v>137</v>
      </c>
      <c r="F56" s="126">
        <f>F54</f>
        <v>12</v>
      </c>
      <c r="G56" s="2"/>
    </row>
    <row r="57" spans="1:10" ht="15" customHeight="1" thickBot="1" x14ac:dyDescent="0.25">
      <c r="A57" s="280"/>
      <c r="B57" s="221" t="s">
        <v>191</v>
      </c>
      <c r="C57" s="220"/>
      <c r="D57" s="220"/>
      <c r="E57" s="41" t="s">
        <v>137</v>
      </c>
      <c r="F57" s="126">
        <f>F54</f>
        <v>12</v>
      </c>
      <c r="G57" s="2"/>
    </row>
    <row r="58" spans="1:10" ht="16.399999999999999" customHeight="1" thickBot="1" x14ac:dyDescent="0.25">
      <c r="A58" s="12"/>
      <c r="B58" s="266" t="str">
        <f>IF('Dobleriel S75asimetrica hoja 80'!B42:D42='Hoja1 (2)'!D5,'Dobleriel S75asimetrica hoja 80'!C61,IF('Dobleriel S75asimetrica hoja 80'!B42:D42='Hoja1 (2)'!D6,'Dobleriel S75asimetrica hoja 80'!C61,IF('Dobleriel S75asimetrica hoja 80'!B42:D42='Hoja1 (2)'!D3,'Dobleriel S75asimetrica hoja 80'!C62)))</f>
        <v>SUPLEMENTO CELSUS 16,5 MM.</v>
      </c>
      <c r="C58" s="267"/>
      <c r="D58" s="267"/>
      <c r="E58" s="41" t="s">
        <v>137</v>
      </c>
      <c r="F58" s="126">
        <f>H13*2</f>
        <v>2</v>
      </c>
      <c r="G58" s="225" t="s">
        <v>245</v>
      </c>
    </row>
    <row r="59" spans="1:10" ht="17.5" customHeight="1" thickBot="1" x14ac:dyDescent="0.25">
      <c r="B59" s="266" t="str">
        <f>IF('Dobleriel S75asimetrica hoja 80'!B43='Hoja1 (2)'!D5,'Dobleriel S75asimetrica hoja 80'!C61,IF('Dobleriel S75asimetrica hoja 80'!B43='Hoja1 (2)'!D6,'Dobleriel S75asimetrica hoja 80'!C61,IF('Dobleriel S75asimetrica hoja 80'!B43='Hoja1 (2)'!D3,'Dobleriel S75asimetrica hoja 80'!C62)))</f>
        <v>SUPLEMENTO CELSUS 16,5 MM.</v>
      </c>
      <c r="C59" s="267"/>
      <c r="D59" s="267"/>
      <c r="E59" s="41" t="s">
        <v>137</v>
      </c>
      <c r="F59" s="126">
        <f>F58</f>
        <v>2</v>
      </c>
      <c r="G59" s="160" t="s">
        <v>246</v>
      </c>
    </row>
    <row r="60" spans="1:10" ht="17.5" customHeight="1" thickBot="1" x14ac:dyDescent="0.25">
      <c r="B60" s="306" t="s">
        <v>202</v>
      </c>
      <c r="C60" s="307"/>
      <c r="D60" s="307"/>
      <c r="E60" s="129" t="s">
        <v>137</v>
      </c>
      <c r="F60" s="130">
        <f>2</f>
        <v>2</v>
      </c>
    </row>
    <row r="61" spans="1:10" ht="16.399999999999999" hidden="1" customHeight="1" x14ac:dyDescent="0.2">
      <c r="C61" s="1" t="s">
        <v>196</v>
      </c>
    </row>
    <row r="62" spans="1:10" ht="16.75" hidden="1" customHeight="1" x14ac:dyDescent="0.2">
      <c r="C62" s="1" t="s">
        <v>221</v>
      </c>
    </row>
    <row r="63" spans="1:10" ht="15.65" customHeight="1" x14ac:dyDescent="0.2"/>
  </sheetData>
  <sheetProtection algorithmName="SHA-512" hashValue="J9LIzEND0SWXa6MzcAhZ7/6WmC0pyjX4nzaYXfH+ahpvQpn1vgaCEvbupDshjNtnhheMrRleYXb9cJoabqYMXw==" saltValue="eGOBDP3tCCDZhwaEIh3Mdw==" spinCount="100000" sheet="1" objects="1" scenarios="1"/>
  <mergeCells count="61">
    <mergeCell ref="B60:D60"/>
    <mergeCell ref="H46:I46"/>
    <mergeCell ref="H45:I45"/>
    <mergeCell ref="B48:D48"/>
    <mergeCell ref="B49:D49"/>
    <mergeCell ref="B54:D54"/>
    <mergeCell ref="B51:D51"/>
    <mergeCell ref="B53:D53"/>
    <mergeCell ref="B50:D50"/>
    <mergeCell ref="B45:D45"/>
    <mergeCell ref="B46:D46"/>
    <mergeCell ref="B47:D47"/>
    <mergeCell ref="B58:D58"/>
    <mergeCell ref="B59:D59"/>
    <mergeCell ref="H47:I47"/>
    <mergeCell ref="H48:I48"/>
    <mergeCell ref="H10:I10"/>
    <mergeCell ref="C20:E20"/>
    <mergeCell ref="H11:I11"/>
    <mergeCell ref="C22:E22"/>
    <mergeCell ref="C29:E29"/>
    <mergeCell ref="C17:E17"/>
    <mergeCell ref="H17:I17"/>
    <mergeCell ref="C18:E18"/>
    <mergeCell ref="C28:E28"/>
    <mergeCell ref="H44:I44"/>
    <mergeCell ref="H43:I43"/>
    <mergeCell ref="H49:I49"/>
    <mergeCell ref="B44:D44"/>
    <mergeCell ref="C5:E12"/>
    <mergeCell ref="G5:H5"/>
    <mergeCell ref="I2:J5"/>
    <mergeCell ref="B43:D43"/>
    <mergeCell ref="H40:I40"/>
    <mergeCell ref="B41:D41"/>
    <mergeCell ref="B42:D42"/>
    <mergeCell ref="B2:H2"/>
    <mergeCell ref="C21:E21"/>
    <mergeCell ref="H7:I7"/>
    <mergeCell ref="H8:I8"/>
    <mergeCell ref="H9:I9"/>
    <mergeCell ref="A52:A57"/>
    <mergeCell ref="B52:D52"/>
    <mergeCell ref="B55:D55"/>
    <mergeCell ref="C30:E30"/>
    <mergeCell ref="C31:E31"/>
    <mergeCell ref="C32:E32"/>
    <mergeCell ref="C33:E33"/>
    <mergeCell ref="B40:D40"/>
    <mergeCell ref="B56:D56"/>
    <mergeCell ref="H42:I42"/>
    <mergeCell ref="H41:I41"/>
    <mergeCell ref="C19:E19"/>
    <mergeCell ref="C23:E23"/>
    <mergeCell ref="C24:E24"/>
    <mergeCell ref="C25:E25"/>
    <mergeCell ref="C26:E26"/>
    <mergeCell ref="C36:F36"/>
    <mergeCell ref="C37:F37"/>
    <mergeCell ref="C38:F38"/>
    <mergeCell ref="C27:E27"/>
  </mergeCells>
  <dataValidations disablePrompts="1" count="1">
    <dataValidation type="list" allowBlank="1" showInputMessage="1" showErrorMessage="1" sqref="H11:I11" xr:uid="{00000000-0002-0000-0500-000000000000}">
      <formula1>$N$6:$N$20</formula1>
    </dataValidation>
  </dataValidations>
  <pageMargins left="0.70866141732283472" right="0.70866141732283472" top="0.74803149606299213" bottom="0.74803149606299213" header="0.31496062992125984" footer="0.31496062992125984"/>
  <pageSetup scale="68" orientation="portrait" r:id="rId1"/>
  <headerFooter>
    <oddHeader>&amp;L&amp;D&amp;R&amp;G</oddHeader>
    <oddFooter>&amp;F</oddFooter>
  </headerFooter>
  <ignoredErrors>
    <ignoredError sqref="F24 F27" formula="1"/>
  </ignoredError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500-000001000000}">
          <x14:formula1>
            <xm:f>'Hoja1 (2)'!$V$3:$V$7</xm:f>
          </x14:formula1>
          <xm:sqref>H9:I9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63"/>
  <sheetViews>
    <sheetView zoomScaleNormal="100" workbookViewId="0">
      <selection activeCell="G24" sqref="G24"/>
    </sheetView>
  </sheetViews>
  <sheetFormatPr baseColWidth="10" defaultColWidth="11.453125" defaultRowHeight="10" x14ac:dyDescent="0.2"/>
  <cols>
    <col min="1" max="1" width="4.1796875" style="2" customWidth="1"/>
    <col min="2" max="2" width="12.54296875" style="1" customWidth="1"/>
    <col min="3" max="5" width="13.54296875" style="1" customWidth="1"/>
    <col min="6" max="6" width="8.1796875" style="1" customWidth="1"/>
    <col min="7" max="7" width="13.54296875" style="1" customWidth="1"/>
    <col min="8" max="8" width="12.1796875" style="1" customWidth="1"/>
    <col min="9" max="9" width="14.54296875" style="1" customWidth="1"/>
    <col min="10" max="10" width="17.81640625" style="1" customWidth="1"/>
    <col min="11" max="11" width="21.453125" style="2" customWidth="1"/>
    <col min="12" max="12" width="20.453125" style="2" customWidth="1"/>
    <col min="13" max="13" width="11.453125" style="2" hidden="1" customWidth="1"/>
    <col min="14" max="14" width="31.1796875" style="2" hidden="1" customWidth="1"/>
    <col min="15" max="15" width="11.453125" style="2" hidden="1" customWidth="1"/>
    <col min="16" max="16" width="16.453125" style="2" hidden="1" customWidth="1"/>
    <col min="17" max="17" width="4" style="2" hidden="1" customWidth="1"/>
    <col min="18" max="18" width="38" style="5" hidden="1" customWidth="1"/>
    <col min="19" max="21" width="11.453125" style="2" hidden="1" customWidth="1"/>
    <col min="22" max="22" width="17.81640625" style="2" hidden="1" customWidth="1"/>
    <col min="23" max="24" width="11.453125" style="2" hidden="1" customWidth="1"/>
    <col min="25" max="16384" width="11.453125" style="2"/>
  </cols>
  <sheetData>
    <row r="1" spans="2:22" ht="21" customHeight="1" thickBot="1" x14ac:dyDescent="0.25"/>
    <row r="2" spans="2:22" ht="39" customHeight="1" thickBot="1" x14ac:dyDescent="0.25">
      <c r="B2" s="353" t="s">
        <v>2</v>
      </c>
      <c r="C2" s="354"/>
      <c r="D2" s="354"/>
      <c r="E2" s="354"/>
      <c r="F2" s="354"/>
      <c r="G2" s="354"/>
      <c r="H2" s="360"/>
      <c r="I2" s="291"/>
      <c r="J2" s="291"/>
    </row>
    <row r="3" spans="2:22" ht="12.65" customHeight="1" thickBot="1" x14ac:dyDescent="0.25">
      <c r="C3" s="4"/>
      <c r="D3" s="2"/>
      <c r="I3" s="291"/>
      <c r="J3" s="291"/>
    </row>
    <row r="4" spans="2:22" ht="6" customHeight="1" thickBot="1" x14ac:dyDescent="0.25">
      <c r="B4" s="146"/>
      <c r="C4" s="147"/>
      <c r="D4" s="147"/>
      <c r="E4" s="147"/>
      <c r="F4" s="147"/>
      <c r="G4" s="147"/>
      <c r="H4" s="147"/>
      <c r="I4" s="291"/>
      <c r="J4" s="291"/>
      <c r="O4" s="1" t="s">
        <v>224</v>
      </c>
      <c r="P4" s="1"/>
      <c r="Q4" s="1"/>
      <c r="R4" s="18"/>
    </row>
    <row r="5" spans="2:22" ht="21" customHeight="1" thickBot="1" x14ac:dyDescent="0.25">
      <c r="B5" s="95"/>
      <c r="C5" s="298"/>
      <c r="D5" s="298"/>
      <c r="E5" s="298"/>
      <c r="G5" s="300" t="s">
        <v>13</v>
      </c>
      <c r="H5" s="359"/>
      <c r="I5" s="293"/>
      <c r="J5" s="293"/>
      <c r="K5" s="19"/>
      <c r="L5" s="19"/>
      <c r="O5" s="1" t="str">
        <f>H11</f>
        <v>22 mm   -    6 inc+10+6 lam</v>
      </c>
      <c r="P5" s="1"/>
      <c r="Q5" s="1"/>
      <c r="R5" s="18"/>
    </row>
    <row r="6" spans="2:22" ht="21" customHeight="1" x14ac:dyDescent="0.2">
      <c r="B6" s="149"/>
      <c r="C6" s="298"/>
      <c r="D6" s="298"/>
      <c r="E6" s="298"/>
      <c r="G6" s="10" t="s">
        <v>20</v>
      </c>
      <c r="H6" s="38" t="s">
        <v>21</v>
      </c>
      <c r="I6" s="9"/>
      <c r="J6" s="97"/>
      <c r="K6" s="19"/>
      <c r="L6" s="19"/>
      <c r="M6" s="2">
        <v>3.7</v>
      </c>
      <c r="N6" s="18" t="str">
        <f>P6&amp;" -    "&amp;O6&amp;" "&amp;"mm"</f>
        <v>Semilla -    3.7 mm</v>
      </c>
      <c r="O6" s="1" t="s">
        <v>3</v>
      </c>
      <c r="P6" s="1" t="s">
        <v>4</v>
      </c>
      <c r="Q6" s="1"/>
      <c r="R6" s="2" t="s">
        <v>5</v>
      </c>
      <c r="T6" s="1" t="s">
        <v>6</v>
      </c>
      <c r="U6" s="1"/>
      <c r="V6" s="18" t="s">
        <v>225</v>
      </c>
    </row>
    <row r="7" spans="2:22" ht="21" customHeight="1" x14ac:dyDescent="0.2">
      <c r="B7" s="150"/>
      <c r="C7" s="298"/>
      <c r="D7" s="298"/>
      <c r="E7" s="298"/>
      <c r="G7" s="6" t="s">
        <v>27</v>
      </c>
      <c r="H7" s="303" t="str">
        <f>D14&amp;"  "&amp;"mm"&amp;" "&amp;"x"&amp;" "&amp;B8&amp;" "&amp;"mm"</f>
        <v>2000  mm x 2400 mm</v>
      </c>
      <c r="I7" s="303"/>
      <c r="J7" s="99"/>
      <c r="L7" s="20"/>
      <c r="M7" s="2">
        <v>4</v>
      </c>
      <c r="N7" s="18" t="str">
        <f>O7&amp;" "&amp;"mm"&amp;"     -    "&amp;P7</f>
        <v>4 mm     -    Incoloro</v>
      </c>
      <c r="O7" s="1">
        <v>4</v>
      </c>
      <c r="P7" s="1" t="s">
        <v>8</v>
      </c>
      <c r="Q7" s="1"/>
      <c r="R7" s="2" t="s">
        <v>9</v>
      </c>
      <c r="T7" s="1" t="s">
        <v>6</v>
      </c>
      <c r="U7" s="1"/>
      <c r="V7" s="18" t="s">
        <v>10</v>
      </c>
    </row>
    <row r="8" spans="2:22" ht="21" customHeight="1" x14ac:dyDescent="0.2">
      <c r="B8" s="171">
        <v>2400</v>
      </c>
      <c r="C8" s="298"/>
      <c r="D8" s="298"/>
      <c r="E8" s="298"/>
      <c r="G8" s="6" t="s">
        <v>34</v>
      </c>
      <c r="H8" s="303" t="s">
        <v>207</v>
      </c>
      <c r="I8" s="303"/>
      <c r="J8" s="99"/>
      <c r="L8" s="20"/>
      <c r="M8" s="2">
        <v>4</v>
      </c>
      <c r="N8" s="18" t="str">
        <f>O8&amp;" "&amp;"mm"&amp;"     -    "&amp;P8</f>
        <v>4 mm     -    Saten</v>
      </c>
      <c r="O8" s="1">
        <v>4</v>
      </c>
      <c r="P8" s="1" t="s">
        <v>11</v>
      </c>
      <c r="Q8" s="1"/>
      <c r="R8" s="2" t="s">
        <v>12</v>
      </c>
      <c r="T8" s="1" t="s">
        <v>6</v>
      </c>
      <c r="U8" s="1"/>
      <c r="V8" s="18" t="s">
        <v>10</v>
      </c>
    </row>
    <row r="9" spans="2:22" ht="21" customHeight="1" x14ac:dyDescent="0.2">
      <c r="B9" s="152"/>
      <c r="C9" s="298"/>
      <c r="D9" s="298"/>
      <c r="E9" s="298"/>
      <c r="G9" s="6" t="s">
        <v>43</v>
      </c>
      <c r="H9" s="341" t="s">
        <v>32</v>
      </c>
      <c r="I9" s="341"/>
      <c r="J9" s="100"/>
      <c r="L9" s="20"/>
      <c r="M9" s="2">
        <v>5</v>
      </c>
      <c r="N9" s="18" t="str">
        <f>O9&amp;" "&amp;"mm"&amp;"     -    "&amp;P9</f>
        <v>5 mm     -    Incoloro</v>
      </c>
      <c r="O9" s="1">
        <v>5</v>
      </c>
      <c r="P9" s="1" t="s">
        <v>8</v>
      </c>
      <c r="Q9" s="1"/>
      <c r="R9" s="2" t="s">
        <v>14</v>
      </c>
      <c r="T9" s="1" t="s">
        <v>6</v>
      </c>
      <c r="U9" s="1"/>
      <c r="V9" s="18" t="s">
        <v>10</v>
      </c>
    </row>
    <row r="10" spans="2:22" ht="21" customHeight="1" x14ac:dyDescent="0.2">
      <c r="B10" s="149"/>
      <c r="C10" s="298"/>
      <c r="D10" s="298"/>
      <c r="E10" s="298"/>
      <c r="G10" s="6" t="s">
        <v>226</v>
      </c>
      <c r="H10" s="303" t="s">
        <v>227</v>
      </c>
      <c r="I10" s="303"/>
      <c r="J10" s="99"/>
      <c r="M10" s="2">
        <v>6</v>
      </c>
      <c r="N10" s="18" t="str">
        <f>O10&amp;" "&amp;"mm"&amp;"     -    "&amp;P10</f>
        <v>6 mm     -    Incoloro</v>
      </c>
      <c r="O10" s="1">
        <v>6</v>
      </c>
      <c r="P10" s="1" t="s">
        <v>8</v>
      </c>
      <c r="Q10" s="1"/>
      <c r="R10" s="2" t="s">
        <v>22</v>
      </c>
      <c r="T10" s="1" t="s">
        <v>6</v>
      </c>
      <c r="U10" s="1"/>
      <c r="V10" s="18" t="s">
        <v>10</v>
      </c>
    </row>
    <row r="11" spans="2:22" ht="21" customHeight="1" x14ac:dyDescent="0.2">
      <c r="B11" s="149"/>
      <c r="C11" s="298"/>
      <c r="D11" s="298"/>
      <c r="E11" s="298"/>
      <c r="G11" s="6" t="s">
        <v>51</v>
      </c>
      <c r="H11" s="295" t="s">
        <v>71</v>
      </c>
      <c r="I11" s="295"/>
      <c r="J11" s="102"/>
      <c r="K11" s="21"/>
      <c r="L11" s="22"/>
      <c r="M11" s="2">
        <v>6</v>
      </c>
      <c r="N11" s="18" t="str">
        <f>O11&amp;" "&amp;"mm"&amp;"     -    "&amp;P11</f>
        <v>6 mm     -    Laminado</v>
      </c>
      <c r="O11" s="1">
        <v>6</v>
      </c>
      <c r="P11" s="1" t="s">
        <v>28</v>
      </c>
      <c r="Q11" s="1"/>
      <c r="R11" s="2" t="s">
        <v>29</v>
      </c>
      <c r="T11" s="1" t="s">
        <v>6</v>
      </c>
      <c r="U11" s="1"/>
      <c r="V11" s="18" t="s">
        <v>10</v>
      </c>
    </row>
    <row r="12" spans="2:22" ht="15" customHeight="1" x14ac:dyDescent="0.2">
      <c r="B12" s="153"/>
      <c r="C12" s="298"/>
      <c r="D12" s="298"/>
      <c r="E12" s="298"/>
      <c r="G12" s="6" t="s">
        <v>55</v>
      </c>
      <c r="H12" s="7">
        <f>D14*B8/1000000</f>
        <v>4.8</v>
      </c>
      <c r="I12" s="8" t="s">
        <v>228</v>
      </c>
      <c r="J12" s="102"/>
      <c r="L12" s="23"/>
      <c r="M12" s="2">
        <v>8</v>
      </c>
      <c r="N12" s="18" t="str">
        <f t="shared" ref="N12:N19" si="0">O12&amp;" "&amp;"mm"&amp;"   -    "&amp;P12</f>
        <v>18 mm   -    4 inc+10+4 inc</v>
      </c>
      <c r="O12" s="1">
        <v>18</v>
      </c>
      <c r="P12" s="1" t="s">
        <v>36</v>
      </c>
      <c r="Q12" s="1"/>
      <c r="R12" s="2" t="s">
        <v>37</v>
      </c>
      <c r="T12" s="1" t="s">
        <v>38</v>
      </c>
      <c r="U12" s="1"/>
      <c r="V12" s="18" t="s">
        <v>39</v>
      </c>
    </row>
    <row r="13" spans="2:22" ht="21" customHeight="1" x14ac:dyDescent="0.2">
      <c r="B13" s="95"/>
      <c r="C13" s="40">
        <v>500</v>
      </c>
      <c r="E13" s="24">
        <f>D14-C13</f>
        <v>1500</v>
      </c>
      <c r="G13" s="6" t="s">
        <v>59</v>
      </c>
      <c r="H13" s="39">
        <v>1</v>
      </c>
      <c r="I13" s="8" t="s">
        <v>60</v>
      </c>
      <c r="J13" s="102"/>
      <c r="M13" s="2">
        <v>8</v>
      </c>
      <c r="N13" s="18" t="str">
        <f t="shared" si="0"/>
        <v>18 mm   -    4 inc+10+4 sat</v>
      </c>
      <c r="O13" s="1">
        <v>18</v>
      </c>
      <c r="P13" s="1" t="s">
        <v>45</v>
      </c>
      <c r="Q13" s="1"/>
      <c r="R13" s="2" t="s">
        <v>46</v>
      </c>
      <c r="T13" s="1" t="s">
        <v>38</v>
      </c>
      <c r="U13" s="1"/>
      <c r="V13" s="18" t="s">
        <v>39</v>
      </c>
    </row>
    <row r="14" spans="2:22" ht="21" customHeight="1" x14ac:dyDescent="0.2">
      <c r="B14" s="95"/>
      <c r="D14" s="37">
        <v>2000</v>
      </c>
      <c r="G14" s="57" t="s">
        <v>229</v>
      </c>
      <c r="H14" s="54">
        <f>IF(H11=N6,((B8*C13/1000000)*M6*2.54*1.3),IF(H11=N7,((B8*C13/1000000)*M7*2.54*1.3),IF(H11=N8,((B8*C13/1000000)*M8*2.54*1.3),IF(H11=N9,((B8*C13/1000000)*M9*2.54*1.3),IF(H11=N10,((B8*C13/1000000)*M10*2.54*1.3),IF(H11=N11,((B8*C13/1000000)*M11*2.54*1.3),IF(H11=N12,((B8*C13/1000000)*M12*2.54*1.3),IF(H11=N13,((B8*C13/1000000)*M13*2.54*1.3),IF(H11=N14,((B8*C13/1000000)*M14*2.54*1.3),IF(H11=N15,((B8*C13/1000000)*M15*2.54*1.3),IF(H11=N17,((B8*C13/1000000)*M17*2.54*1.3),IF(H11=N18,((B8*C13/1000000)*M18*2.54*1.3),IF(H11=N19,((B8*C13/1000000)*M19*2.54*1.3),IF(H11=N20,((B8*C13/1000000)*M20*2.54*1.3)))))))))))))))</f>
        <v>47.548799999999993</v>
      </c>
      <c r="J14" s="155"/>
      <c r="M14" s="2">
        <v>10</v>
      </c>
      <c r="N14" s="18" t="str">
        <f t="shared" si="0"/>
        <v>18 mm   -    5 inc+8+5 inc</v>
      </c>
      <c r="O14" s="1">
        <v>18</v>
      </c>
      <c r="P14" s="1" t="s">
        <v>48</v>
      </c>
      <c r="Q14" s="1"/>
      <c r="R14" s="2" t="s">
        <v>49</v>
      </c>
      <c r="T14" s="1" t="s">
        <v>38</v>
      </c>
      <c r="U14" s="1"/>
      <c r="V14" s="18" t="s">
        <v>39</v>
      </c>
    </row>
    <row r="15" spans="2:22" ht="18.75" customHeight="1" thickBot="1" x14ac:dyDescent="0.25">
      <c r="B15" s="156"/>
      <c r="C15" s="157"/>
      <c r="D15" s="158"/>
      <c r="E15" s="159"/>
      <c r="F15" s="157"/>
      <c r="G15" s="108" t="s">
        <v>230</v>
      </c>
      <c r="H15" s="109">
        <f>IF(H11=N6,((B8*E13/1000000)*M6*2.54*1.3),IF(H11=N7,((B8*E13/1000000)*M7*2.54*1.3),IF(H11=N8,((B8*E13/1000000)*M8*2.54*1.3),IF(H11=N9,((B8*E13/1000000)*M9*2.54*1.3),IF(H11=N10,((B8*E13/1000000)*M10*2.54*1.3),IF(H11=N11,((B8*E13/1000000)*M11*2.54*1.3),IF(H11=N12,((B8*E13/1000000)*M12*2.54*1.3),IF(H11=N13,((B8*E13/1000000)*M13*2.54*1.3),IF(H11=N14,((B8*E13/1000000)*M14*2.54*1.3),IF(H11=N15,((B8*E13/1000000)*M15*2.54*1.3),IF(H11=N17,((B8*E13/1000000)*M17*2.54*1.3),IF(H11=N18,((B8*E13/1000000)*M18*2.54*1.3),IF(H11=N19,((B8*E13/1000000)*M19*2.54*1.3),IF(H11=N20,((B8*E13/1000000)*M20*2.54*1.3)))))))))))))))</f>
        <v>142.64640000000003</v>
      </c>
      <c r="I15" s="157"/>
      <c r="J15" s="160"/>
      <c r="M15" s="2">
        <v>9</v>
      </c>
      <c r="N15" s="18" t="str">
        <f t="shared" si="0"/>
        <v>19 mm   -    4 inc+10+5 inc</v>
      </c>
      <c r="O15" s="1">
        <v>19</v>
      </c>
      <c r="P15" s="1" t="s">
        <v>53</v>
      </c>
      <c r="Q15" s="1"/>
      <c r="R15" s="2" t="s">
        <v>54</v>
      </c>
      <c r="T15" s="1" t="s">
        <v>38</v>
      </c>
      <c r="U15" s="1"/>
      <c r="V15" s="18" t="s">
        <v>39</v>
      </c>
    </row>
    <row r="16" spans="2:22" ht="18.75" customHeight="1" thickBot="1" x14ac:dyDescent="0.25">
      <c r="D16" s="25"/>
      <c r="E16" s="26"/>
      <c r="G16" s="89"/>
      <c r="H16" s="90"/>
      <c r="N16" s="18"/>
      <c r="O16" s="1"/>
      <c r="P16" s="1"/>
      <c r="Q16" s="1"/>
      <c r="R16" s="2"/>
      <c r="T16" s="1"/>
      <c r="U16" s="1"/>
      <c r="V16" s="18"/>
    </row>
    <row r="17" spans="2:22" s="3" customFormat="1" ht="21" customHeight="1" thickBot="1" x14ac:dyDescent="0.25">
      <c r="B17" s="172"/>
      <c r="C17" s="368" t="s">
        <v>66</v>
      </c>
      <c r="D17" s="369"/>
      <c r="E17" s="370"/>
      <c r="F17" s="116" t="s">
        <v>67</v>
      </c>
      <c r="G17" s="116" t="s">
        <v>68</v>
      </c>
      <c r="H17" s="368" t="s">
        <v>69</v>
      </c>
      <c r="I17" s="370"/>
      <c r="J17" s="116" t="s">
        <v>70</v>
      </c>
      <c r="M17" s="2">
        <v>11</v>
      </c>
      <c r="N17" s="18" t="str">
        <f t="shared" si="0"/>
        <v>19 mm   -    5 inc+8+6 inc</v>
      </c>
      <c r="O17" s="1">
        <v>19</v>
      </c>
      <c r="P17" s="1" t="s">
        <v>57</v>
      </c>
      <c r="Q17" s="1"/>
      <c r="R17" s="2" t="s">
        <v>58</v>
      </c>
      <c r="S17" s="1"/>
      <c r="T17" s="1" t="s">
        <v>38</v>
      </c>
      <c r="U17" s="1"/>
      <c r="V17" s="18" t="s">
        <v>39</v>
      </c>
    </row>
    <row r="18" spans="2:22" ht="15" customHeight="1" x14ac:dyDescent="0.2">
      <c r="B18" s="164"/>
      <c r="C18" s="371" t="s">
        <v>231</v>
      </c>
      <c r="D18" s="371"/>
      <c r="E18" s="371"/>
      <c r="F18" s="173">
        <f>H13*2</f>
        <v>2</v>
      </c>
      <c r="G18" s="174">
        <f>D14+5</f>
        <v>2005</v>
      </c>
      <c r="H18" s="173" t="s">
        <v>75</v>
      </c>
      <c r="I18" s="173" t="s">
        <v>75</v>
      </c>
      <c r="J18" s="175" t="s">
        <v>76</v>
      </c>
      <c r="M18" s="2">
        <v>11</v>
      </c>
      <c r="N18" s="18" t="str">
        <f t="shared" si="0"/>
        <v>19 mm   -    5 inc+8+6 lam</v>
      </c>
      <c r="O18" s="1">
        <v>19</v>
      </c>
      <c r="P18" s="1" t="s">
        <v>61</v>
      </c>
      <c r="Q18" s="1"/>
      <c r="R18" s="2" t="s">
        <v>62</v>
      </c>
      <c r="T18" s="1" t="s">
        <v>38</v>
      </c>
      <c r="U18" s="1"/>
      <c r="V18" s="18" t="s">
        <v>39</v>
      </c>
    </row>
    <row r="19" spans="2:22" ht="15" customHeight="1" x14ac:dyDescent="0.2">
      <c r="B19" s="164"/>
      <c r="C19" s="347" t="s">
        <v>231</v>
      </c>
      <c r="D19" s="347"/>
      <c r="E19" s="347"/>
      <c r="F19" s="87">
        <f>F18</f>
        <v>2</v>
      </c>
      <c r="G19" s="28">
        <f>B8+5</f>
        <v>2405</v>
      </c>
      <c r="H19" s="87" t="s">
        <v>75</v>
      </c>
      <c r="I19" s="87" t="s">
        <v>75</v>
      </c>
      <c r="J19" s="165" t="s">
        <v>77</v>
      </c>
      <c r="M19" s="2">
        <v>10</v>
      </c>
      <c r="N19" s="18" t="str">
        <f t="shared" si="0"/>
        <v>20 mm   -    4 inc+10+6 lam</v>
      </c>
      <c r="O19" s="1">
        <v>20</v>
      </c>
      <c r="P19" s="1" t="s">
        <v>64</v>
      </c>
      <c r="Q19" s="1"/>
      <c r="R19" s="2" t="s">
        <v>65</v>
      </c>
      <c r="T19" s="1" t="s">
        <v>38</v>
      </c>
      <c r="U19" s="1"/>
      <c r="V19" s="18" t="s">
        <v>39</v>
      </c>
    </row>
    <row r="20" spans="2:22" ht="15" customHeight="1" x14ac:dyDescent="0.2">
      <c r="B20" s="166"/>
      <c r="C20" s="347" t="s">
        <v>82</v>
      </c>
      <c r="D20" s="347"/>
      <c r="E20" s="347"/>
      <c r="F20" s="87">
        <f>$H$13*2</f>
        <v>2</v>
      </c>
      <c r="G20" s="28">
        <f>G18-85</f>
        <v>1920</v>
      </c>
      <c r="H20" s="87" t="s">
        <v>83</v>
      </c>
      <c r="I20" s="87" t="s">
        <v>83</v>
      </c>
      <c r="J20" s="165" t="s">
        <v>76</v>
      </c>
      <c r="M20" s="2">
        <v>12</v>
      </c>
      <c r="N20" s="2" t="s">
        <v>71</v>
      </c>
      <c r="O20" s="12">
        <v>22</v>
      </c>
      <c r="P20" s="1" t="s">
        <v>72</v>
      </c>
      <c r="R20" s="2" t="s">
        <v>73</v>
      </c>
      <c r="T20" s="12" t="s">
        <v>232</v>
      </c>
      <c r="V20" s="18" t="s">
        <v>233</v>
      </c>
    </row>
    <row r="21" spans="2:22" ht="15" customHeight="1" x14ac:dyDescent="0.2">
      <c r="B21" s="166"/>
      <c r="C21" s="347" t="s">
        <v>82</v>
      </c>
      <c r="D21" s="347"/>
      <c r="E21" s="347"/>
      <c r="F21" s="87">
        <f>$H$13*2</f>
        <v>2</v>
      </c>
      <c r="G21" s="28">
        <f>G19-85</f>
        <v>2320</v>
      </c>
      <c r="H21" s="87" t="s">
        <v>83</v>
      </c>
      <c r="I21" s="87" t="s">
        <v>83</v>
      </c>
      <c r="J21" s="165" t="s">
        <v>77</v>
      </c>
      <c r="O21" s="1"/>
      <c r="Q21" s="1"/>
      <c r="R21" s="18" t="s">
        <v>225</v>
      </c>
      <c r="T21" s="1" t="s">
        <v>6</v>
      </c>
    </row>
    <row r="22" spans="2:22" ht="15" customHeight="1" x14ac:dyDescent="0.2">
      <c r="B22" s="164"/>
      <c r="C22" s="347" t="s">
        <v>210</v>
      </c>
      <c r="D22" s="347"/>
      <c r="E22" s="347"/>
      <c r="F22" s="87">
        <f>$H$13*2</f>
        <v>2</v>
      </c>
      <c r="G22" s="28">
        <f>(C13-48+8)+54-3</f>
        <v>511</v>
      </c>
      <c r="H22" s="87" t="s">
        <v>75</v>
      </c>
      <c r="I22" s="87" t="s">
        <v>75</v>
      </c>
      <c r="J22" s="165" t="s">
        <v>234</v>
      </c>
      <c r="O22" s="1"/>
      <c r="Q22" s="1"/>
      <c r="R22" s="18" t="s">
        <v>235</v>
      </c>
      <c r="T22" s="1" t="s">
        <v>38</v>
      </c>
    </row>
    <row r="23" spans="2:22" ht="15" customHeight="1" x14ac:dyDescent="0.2">
      <c r="B23" s="164"/>
      <c r="C23" s="347" t="s">
        <v>210</v>
      </c>
      <c r="D23" s="347"/>
      <c r="E23" s="347"/>
      <c r="F23" s="87">
        <f>$H$13*2</f>
        <v>2</v>
      </c>
      <c r="G23" s="28">
        <f>(E13-48+8)+54-3</f>
        <v>1511</v>
      </c>
      <c r="H23" s="87" t="s">
        <v>75</v>
      </c>
      <c r="I23" s="87" t="s">
        <v>75</v>
      </c>
      <c r="J23" s="165" t="s">
        <v>236</v>
      </c>
      <c r="R23" s="5" t="s">
        <v>237</v>
      </c>
      <c r="T23" s="2">
        <v>18291820</v>
      </c>
    </row>
    <row r="24" spans="2:22" ht="15" customHeight="1" x14ac:dyDescent="0.2">
      <c r="B24" s="164"/>
      <c r="C24" s="347" t="s">
        <v>210</v>
      </c>
      <c r="D24" s="347"/>
      <c r="E24" s="347"/>
      <c r="F24" s="87">
        <f>H13*4</f>
        <v>4</v>
      </c>
      <c r="G24" s="28">
        <f>B8-75</f>
        <v>2325</v>
      </c>
      <c r="H24" s="87" t="s">
        <v>75</v>
      </c>
      <c r="I24" s="87" t="s">
        <v>75</v>
      </c>
      <c r="J24" s="165" t="s">
        <v>212</v>
      </c>
    </row>
    <row r="25" spans="2:22" ht="15" customHeight="1" x14ac:dyDescent="0.2">
      <c r="B25" s="166"/>
      <c r="C25" s="347" t="str">
        <f>IF(G19 &gt;= 2500, "REFUERZO BOX CON INCLINACION","REFUERZO HOJA CORREDERA 98 2 MM")</f>
        <v>REFUERZO HOJA CORREDERA 98 2 MM</v>
      </c>
      <c r="D25" s="347"/>
      <c r="E25" s="347"/>
      <c r="F25" s="87">
        <f>$H$13*2</f>
        <v>2</v>
      </c>
      <c r="G25" s="28">
        <f>G22-185</f>
        <v>326</v>
      </c>
      <c r="H25" s="87" t="s">
        <v>83</v>
      </c>
      <c r="I25" s="87" t="s">
        <v>83</v>
      </c>
      <c r="J25" s="165" t="s">
        <v>234</v>
      </c>
    </row>
    <row r="26" spans="2:22" ht="15" customHeight="1" x14ac:dyDescent="0.2">
      <c r="B26" s="166"/>
      <c r="C26" s="347" t="str">
        <f>C25</f>
        <v>REFUERZO HOJA CORREDERA 98 2 MM</v>
      </c>
      <c r="D26" s="347"/>
      <c r="E26" s="347"/>
      <c r="F26" s="87">
        <f>$H$13*2</f>
        <v>2</v>
      </c>
      <c r="G26" s="28">
        <f>G23-185</f>
        <v>1326</v>
      </c>
      <c r="H26" s="87" t="s">
        <v>83</v>
      </c>
      <c r="I26" s="87" t="s">
        <v>83</v>
      </c>
      <c r="J26" s="165" t="s">
        <v>236</v>
      </c>
    </row>
    <row r="27" spans="2:22" ht="15" customHeight="1" x14ac:dyDescent="0.2">
      <c r="B27" s="166"/>
      <c r="C27" s="347" t="str">
        <f>C26</f>
        <v>REFUERZO HOJA CORREDERA 98 2 MM</v>
      </c>
      <c r="D27" s="347"/>
      <c r="E27" s="347"/>
      <c r="F27" s="87">
        <f>H13*4</f>
        <v>4</v>
      </c>
      <c r="G27" s="28">
        <f>G24-185</f>
        <v>2140</v>
      </c>
      <c r="H27" s="87" t="s">
        <v>83</v>
      </c>
      <c r="I27" s="87" t="s">
        <v>83</v>
      </c>
      <c r="J27" s="165" t="s">
        <v>212</v>
      </c>
    </row>
    <row r="28" spans="2:22" ht="15" customHeight="1" x14ac:dyDescent="0.2">
      <c r="B28" s="166"/>
      <c r="C28" s="356" t="s">
        <v>104</v>
      </c>
      <c r="D28" s="357"/>
      <c r="E28" s="358"/>
      <c r="F28" s="87">
        <f>IF(G19&gt;=2300,2,0)</f>
        <v>2</v>
      </c>
      <c r="G28" s="28">
        <f>IF(F28&gt;=1,G24-80-80-25,0)</f>
        <v>2140</v>
      </c>
      <c r="H28" s="87" t="s">
        <v>83</v>
      </c>
      <c r="I28" s="87" t="s">
        <v>83</v>
      </c>
      <c r="J28" s="165" t="s">
        <v>105</v>
      </c>
    </row>
    <row r="29" spans="2:22" ht="15" customHeight="1" x14ac:dyDescent="0.2">
      <c r="B29" s="164"/>
      <c r="C29" s="347" t="s">
        <v>213</v>
      </c>
      <c r="D29" s="347"/>
      <c r="E29" s="347"/>
      <c r="F29" s="87">
        <f>$H$13*2</f>
        <v>2</v>
      </c>
      <c r="G29" s="28">
        <f>G24-7</f>
        <v>2318</v>
      </c>
      <c r="H29" s="87" t="s">
        <v>83</v>
      </c>
      <c r="I29" s="87" t="s">
        <v>83</v>
      </c>
      <c r="J29" s="165" t="s">
        <v>238</v>
      </c>
    </row>
    <row r="30" spans="2:22" ht="15" customHeight="1" x14ac:dyDescent="0.2">
      <c r="B30" s="166"/>
      <c r="C30" s="350" t="str">
        <f>VLOOKUP(C37,R6:Y20,5,0)</f>
        <v>JUNQUILLO PARA TERMOPANEL 20-22 MM</v>
      </c>
      <c r="D30" s="350"/>
      <c r="E30" s="350"/>
      <c r="F30" s="88">
        <f>H13*2</f>
        <v>2</v>
      </c>
      <c r="G30" s="31">
        <f>G22-165</f>
        <v>346</v>
      </c>
      <c r="H30" s="88" t="s">
        <v>75</v>
      </c>
      <c r="I30" s="88" t="s">
        <v>75</v>
      </c>
      <c r="J30" s="167" t="s">
        <v>234</v>
      </c>
    </row>
    <row r="31" spans="2:22" ht="15" customHeight="1" x14ac:dyDescent="0.2">
      <c r="B31" s="166"/>
      <c r="C31" s="350" t="str">
        <f>VLOOKUP(C37,R6:Y20,5,0)</f>
        <v>JUNQUILLO PARA TERMOPANEL 20-22 MM</v>
      </c>
      <c r="D31" s="350"/>
      <c r="E31" s="350"/>
      <c r="F31" s="88">
        <f>H13*2</f>
        <v>2</v>
      </c>
      <c r="G31" s="31">
        <f>G23-165</f>
        <v>1346</v>
      </c>
      <c r="H31" s="88" t="s">
        <v>75</v>
      </c>
      <c r="I31" s="88" t="s">
        <v>75</v>
      </c>
      <c r="J31" s="167" t="s">
        <v>236</v>
      </c>
    </row>
    <row r="32" spans="2:22" ht="12.65" customHeight="1" x14ac:dyDescent="0.2">
      <c r="B32" s="166"/>
      <c r="C32" s="350" t="str">
        <f>VLOOKUP(C37,R6:Y20,5,0)</f>
        <v>JUNQUILLO PARA TERMOPANEL 20-22 MM</v>
      </c>
      <c r="D32" s="350"/>
      <c r="E32" s="350"/>
      <c r="F32" s="88">
        <f>$H$13*4</f>
        <v>4</v>
      </c>
      <c r="G32" s="31">
        <f>G24-165</f>
        <v>2160</v>
      </c>
      <c r="H32" s="88" t="s">
        <v>75</v>
      </c>
      <c r="I32" s="88" t="s">
        <v>75</v>
      </c>
      <c r="J32" s="167" t="s">
        <v>212</v>
      </c>
    </row>
    <row r="33" spans="2:12" ht="18" customHeight="1" thickBot="1" x14ac:dyDescent="0.25">
      <c r="B33" s="168"/>
      <c r="C33" s="349" t="s">
        <v>239</v>
      </c>
      <c r="D33" s="349"/>
      <c r="E33" s="349"/>
      <c r="F33" s="124">
        <f>H13*2</f>
        <v>2</v>
      </c>
      <c r="G33" s="169">
        <f>D14-48-48-1</f>
        <v>1903</v>
      </c>
      <c r="H33" s="124" t="s">
        <v>83</v>
      </c>
      <c r="I33" s="124" t="s">
        <v>83</v>
      </c>
      <c r="J33" s="125" t="s">
        <v>111</v>
      </c>
    </row>
    <row r="34" spans="2:12" ht="18" customHeight="1" thickBot="1" x14ac:dyDescent="0.25"/>
    <row r="35" spans="2:12" ht="18" customHeight="1" thickBot="1" x14ac:dyDescent="0.25">
      <c r="B35" s="117" t="str">
        <f>G11</f>
        <v>Vidrio:</v>
      </c>
      <c r="C35" s="118"/>
      <c r="D35" s="118"/>
      <c r="E35" s="118"/>
      <c r="F35" s="118"/>
      <c r="G35" s="118"/>
      <c r="H35" s="118"/>
      <c r="I35" s="118"/>
      <c r="J35" s="119"/>
      <c r="K35" s="29"/>
      <c r="L35" s="30"/>
    </row>
    <row r="36" spans="2:12" ht="18" customHeight="1" x14ac:dyDescent="0.2">
      <c r="B36" s="120" t="s">
        <v>120</v>
      </c>
      <c r="C36" s="348" t="s">
        <v>121</v>
      </c>
      <c r="D36" s="348"/>
      <c r="E36" s="348"/>
      <c r="F36" s="348"/>
      <c r="G36" s="42" t="s">
        <v>122</v>
      </c>
      <c r="H36" s="42" t="s">
        <v>123</v>
      </c>
      <c r="I36" s="42" t="s">
        <v>124</v>
      </c>
      <c r="J36" s="121" t="s">
        <v>125</v>
      </c>
    </row>
    <row r="37" spans="2:12" ht="18" customHeight="1" x14ac:dyDescent="0.2">
      <c r="B37" s="166" t="str">
        <f>VLOOKUP($H$11,$N$6:$R$20,3,0)</f>
        <v>6 inc+10+6 lam</v>
      </c>
      <c r="C37" s="347" t="str">
        <f>VLOOKUP(O5,N6:R20,5,0)</f>
        <v>Termopanel 6 mm Incoloro + 10 mm + 6 mm Incoloro Laminado</v>
      </c>
      <c r="D37" s="347"/>
      <c r="E37" s="347"/>
      <c r="F37" s="347"/>
      <c r="G37" s="11">
        <f>G22-175</f>
        <v>336</v>
      </c>
      <c r="H37" s="11">
        <f>G24-175</f>
        <v>2150</v>
      </c>
      <c r="I37" s="87">
        <v>1</v>
      </c>
      <c r="J37" s="165" t="s">
        <v>240</v>
      </c>
    </row>
    <row r="38" spans="2:12" ht="18" customHeight="1" thickBot="1" x14ac:dyDescent="0.25">
      <c r="B38" s="122" t="str">
        <f>VLOOKUP($H$11,$N$6:$R$20,3,0)</f>
        <v>6 inc+10+6 lam</v>
      </c>
      <c r="C38" s="349" t="str">
        <f>VLOOKUP(O5,N6:R20,5,0)</f>
        <v>Termopanel 6 mm Incoloro + 10 mm + 6 mm Incoloro Laminado</v>
      </c>
      <c r="D38" s="349"/>
      <c r="E38" s="349"/>
      <c r="F38" s="349"/>
      <c r="G38" s="123">
        <f>G23-175</f>
        <v>1336</v>
      </c>
      <c r="H38" s="123">
        <f>G24-175</f>
        <v>2150</v>
      </c>
      <c r="I38" s="124">
        <v>1</v>
      </c>
      <c r="J38" s="125" t="s">
        <v>241</v>
      </c>
    </row>
    <row r="39" spans="2:12" ht="18" customHeight="1" thickBot="1" x14ac:dyDescent="0.25"/>
    <row r="40" spans="2:12" ht="18" customHeight="1" thickBot="1" x14ac:dyDescent="0.25">
      <c r="B40" s="363" t="s">
        <v>66</v>
      </c>
      <c r="C40" s="364"/>
      <c r="D40" s="365"/>
      <c r="E40" s="176" t="s">
        <v>70</v>
      </c>
      <c r="F40" s="187" t="s">
        <v>67</v>
      </c>
      <c r="G40" s="116" t="s">
        <v>133</v>
      </c>
      <c r="H40" s="262" t="s">
        <v>134</v>
      </c>
      <c r="I40" s="263"/>
      <c r="J40" s="116" t="s">
        <v>124</v>
      </c>
    </row>
    <row r="41" spans="2:12" ht="18" customHeight="1" x14ac:dyDescent="0.2">
      <c r="B41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2000MM</v>
      </c>
      <c r="C41" s="276"/>
      <c r="D41" s="276"/>
      <c r="E41" s="177"/>
      <c r="F41" s="170">
        <f>H13*2</f>
        <v>2</v>
      </c>
      <c r="G41" s="219" t="s">
        <v>138</v>
      </c>
      <c r="H41" s="366" t="s">
        <v>139</v>
      </c>
      <c r="I41" s="367"/>
      <c r="J41" s="170">
        <f>F45*2</f>
        <v>16</v>
      </c>
    </row>
    <row r="42" spans="2:12" ht="18" customHeight="1" x14ac:dyDescent="0.2">
      <c r="B42" s="266" t="str">
        <f>IF(AND(H14&gt;=0,H14&lt;=60),'Hoja1 (2)'!D5,IF(AND(H14&gt;=60.1,H14&lt;=120),'Hoja1 (2)'!D6,IF(AND(H14&gt;=120.1,'Dobleriel S75 simetrica hoja 80'!E45&lt;=230),'Hoja1 (2)'!D3,)))</f>
        <v>CARRO CELSUS 60 KG REGULABLE</v>
      </c>
      <c r="C42" s="267"/>
      <c r="D42" s="267"/>
      <c r="E42" s="41" t="s">
        <v>242</v>
      </c>
      <c r="F42" s="126">
        <f>H13*2</f>
        <v>2</v>
      </c>
      <c r="G42" s="214" t="s">
        <v>142</v>
      </c>
      <c r="H42" s="361" t="s">
        <v>143</v>
      </c>
      <c r="I42" s="362"/>
      <c r="J42" s="131">
        <f>IF(B41='Hoja1 (2)'!A10,2*'Dobleriel S75asimetrica hoja 80'!F41,IF(B41='Hoja1 (2)'!A11,4*'Dobleriel S75asimetrica hoja 80'!F41,IF(B41='Hoja1 (2)'!A12,8*'Dobleriel S75asimetrica hoja 80'!F41,IF(B41='Hoja1 (2)'!A13,8*'Dobleriel S75asimetrica hoja 80'!F41,IF(B41='Hoja1 (2)'!A14,8*'Dobleriel S75asimetrica hoja 80'!F41,IF(B41='Hoja1 (2)'!A15,10*'Dobleriel S75asimetrica hoja 80'!F41,IF(B41='Hoja1 (2)'!A16,10*'Dobleriel S75asimetrica hoja 80'!F41,IF(B41='Hoja1 (2)'!A17,12*'Dobleriel S75asimetrica hoja 80'!F41,IF(B41='Hoja1 (2)'!A18,12*'Dobleriel S75asimetrica hoja 80'!F41,IF(B41='Hoja1 (2)'!A19,12*'Dobleriel S75asimetrica hoja 80'!F41))))))))))</f>
        <v>24</v>
      </c>
    </row>
    <row r="43" spans="2:12" ht="18" customHeight="1" x14ac:dyDescent="0.2">
      <c r="B43" s="266" t="str">
        <f>IF(AND(H15&gt;=0,H15&lt;=60),'Hoja1 (2)'!D5,IF(AND(H15&gt;=60.1,H15&lt;=120),'Hoja1 (2)'!D6,IF(AND(H15&gt;=120.1,'Dobleriel S75 simetrica hoja 80'!E45&lt;=230),'Hoja1 (2)'!D3,)))</f>
        <v>CARRO CELSUS 230 KG REGULABLE</v>
      </c>
      <c r="C43" s="267"/>
      <c r="D43" s="267"/>
      <c r="E43" s="41" t="s">
        <v>243</v>
      </c>
      <c r="F43" s="126">
        <f>H13*2</f>
        <v>2</v>
      </c>
      <c r="G43" s="214" t="s">
        <v>146</v>
      </c>
      <c r="H43" s="361" t="s">
        <v>147</v>
      </c>
      <c r="I43" s="362"/>
      <c r="J43" s="132">
        <f>((B8/250)*2+(D14/250)*2+(B8/250)*4+(D14/250)*2)*H13</f>
        <v>89.6</v>
      </c>
    </row>
    <row r="44" spans="2:12" ht="18" customHeight="1" x14ac:dyDescent="0.2">
      <c r="B44" s="266" t="str">
        <f>IF(H9='Hoja1 (2)'!V3,'Hoja1 (2)'!B3,IF(H9='Hoja1 (2)'!V4,'Hoja1 (2)'!B4,IF(H9='Hoja1 (2)'!V5,'Hoja1 (2)'!B4,IF(H9='Hoja1 (2)'!V6,'Hoja1 (2)'!B5,IF(H9='Hoja1 (2)'!V7,'Hoja1 (2)'!B5)))))</f>
        <v>MANILLA ALUMINIO VENTANA BLANCO</v>
      </c>
      <c r="C44" s="267"/>
      <c r="D44" s="267"/>
      <c r="E44" s="41"/>
      <c r="F44" s="126">
        <f>F41</f>
        <v>2</v>
      </c>
      <c r="G44" s="214" t="s">
        <v>151</v>
      </c>
      <c r="H44" s="361" t="s">
        <v>152</v>
      </c>
      <c r="I44" s="362"/>
      <c r="J44" s="132">
        <f>((B8*2)/500+(D14*2)/500)*H13</f>
        <v>17.600000000000001</v>
      </c>
    </row>
    <row r="45" spans="2:12" ht="18" customHeight="1" x14ac:dyDescent="0.2">
      <c r="B45" s="285" t="s">
        <v>150</v>
      </c>
      <c r="C45" s="270"/>
      <c r="D45" s="270"/>
      <c r="E45" s="41"/>
      <c r="F45" s="126">
        <f>IF(B41='Hoja1 (2)'!A10,1*2*H13,IF(B41='Hoja1 (2)'!A11,2*2*H13,IF(B41='Hoja1 (2)'!A12,2*2*H13,IF(B41='Hoja1 (2)'!A13,2*2*H13,IF(B41='Hoja1 (2)'!A14,3*2*H13,IF(B41='Hoja1 (2)'!A15,3*2*H13,IF(B41='Hoja1 (2)'!A16,3*2*H13,IF(B41='Hoja1 (2)'!A17,4*2*H13,IF(B41='Hoja1 (2)'!A18,4*2*H13,IF(B41='Hoja1 (2)'!A19,4*2*H13))))))))))</f>
        <v>8</v>
      </c>
      <c r="G45" s="214" t="s">
        <v>156</v>
      </c>
      <c r="H45" s="361" t="s">
        <v>157</v>
      </c>
      <c r="I45" s="362"/>
      <c r="J45" s="126">
        <f>F47*2</f>
        <v>4</v>
      </c>
    </row>
    <row r="46" spans="2:12" ht="18" customHeight="1" x14ac:dyDescent="0.2">
      <c r="B46" s="266" t="s">
        <v>155</v>
      </c>
      <c r="C46" s="267"/>
      <c r="D46" s="267"/>
      <c r="E46" s="41"/>
      <c r="F46" s="126">
        <f>F41</f>
        <v>2</v>
      </c>
      <c r="G46" s="216" t="s">
        <v>160</v>
      </c>
      <c r="H46" s="204" t="s">
        <v>157</v>
      </c>
      <c r="I46" s="205"/>
      <c r="J46" s="203">
        <f>IF(B42='Hoja1 (2)'!D4,H13*2*5,H13*2*2)+H13*5*2</f>
        <v>14</v>
      </c>
    </row>
    <row r="47" spans="2:12" ht="18" customHeight="1" x14ac:dyDescent="0.2">
      <c r="B47" s="266" t="str">
        <f>IF(H9='Hoja1 (2)'!V3,'Hoja1 (2)'!J7,IF(H9='Hoja1 (2)'!V4,'Hoja1 (2)'!J8,IF(H9='Hoja1 (2)'!V5,'Hoja1 (2)'!J8,IF(H9='Hoja1 (2)'!V6,'Hoja1 (2)'!J9,IF(H9='Hoja1 (2)'!V7,'Hoja1 (2)'!J9)))))</f>
        <v>TOPE ESTANCO S75 WINHOUSE BLANCO</v>
      </c>
      <c r="C47" s="267"/>
      <c r="D47" s="267"/>
      <c r="E47" s="41"/>
      <c r="F47" s="126">
        <f>H13*2</f>
        <v>2</v>
      </c>
      <c r="G47" s="214" t="s">
        <v>161</v>
      </c>
      <c r="H47" s="288" t="s">
        <v>162</v>
      </c>
      <c r="I47" s="288"/>
      <c r="J47" s="131">
        <f>F46*2</f>
        <v>4</v>
      </c>
    </row>
    <row r="48" spans="2:12" ht="18" customHeight="1" x14ac:dyDescent="0.2">
      <c r="B48" s="266" t="str">
        <f>IF(H9='Hoja1 (2)'!V3,'Hoja1 (2)'!J12,IF(H9='Hoja1 (2)'!V4,'Hoja1 (2)'!J13,IF(H9='Hoja1 (2)'!V5,'Hoja1 (2)'!J14,IF(H9='Hoja1 (2)'!V6,'Hoja1 (2)'!J16,IF(H9='Hoja1 (2)'!V7,'Hoja1 (2)'!J15)))))</f>
        <v>TAPA DESAGÜE BLANCO</v>
      </c>
      <c r="C48" s="267"/>
      <c r="D48" s="267"/>
      <c r="E48" s="41"/>
      <c r="F48" s="126">
        <f>IF(AND(D14&gt;=0,D14&lt;=800),H13*2,IF(AND(D14&gt;=801,D14&lt;=1500),H13*3,IF(D14&gt;=1501,H13*4)))</f>
        <v>4</v>
      </c>
      <c r="G48" s="214" t="s">
        <v>165</v>
      </c>
      <c r="H48" s="288" t="s">
        <v>166</v>
      </c>
      <c r="I48" s="288"/>
      <c r="J48" s="131">
        <f>F44*2</f>
        <v>4</v>
      </c>
    </row>
    <row r="49" spans="1:10" ht="18" customHeight="1" thickBot="1" x14ac:dyDescent="0.25">
      <c r="B49" s="266" t="str">
        <f>IF(H9='Hoja1 (2)'!V3,'Hoja1 (2)'!J20,IF(H9='Hoja1 (2)'!V4,'Hoja1 (2)'!J21,IF(H9='Hoja1 (2)'!V5,'Hoja1 (2)'!J21,IF(H9='Hoja1 (2)'!V6,'Hoja1 (2)'!J24,IF(H9='Hoja1 (2)'!V7,'Hoja1 (2)'!J24)))))</f>
        <v xml:space="preserve">TAPA TORNILLO AMO 3 BLANCO </v>
      </c>
      <c r="C49" s="267"/>
      <c r="D49" s="267"/>
      <c r="E49" s="41"/>
      <c r="F49" s="127">
        <f>J44</f>
        <v>17.600000000000001</v>
      </c>
      <c r="G49" s="215" t="s">
        <v>169</v>
      </c>
      <c r="H49" s="257" t="s">
        <v>170</v>
      </c>
      <c r="I49" s="257"/>
      <c r="J49" s="202">
        <f>F50*1</f>
        <v>2</v>
      </c>
    </row>
    <row r="50" spans="1:10" ht="18" customHeight="1" x14ac:dyDescent="0.2">
      <c r="B50" s="266" t="str">
        <f>IF(H9='Hoja1 (2)'!Q3,'Hoja1 (2)'!J28,'Hoja1 (2)'!J27)</f>
        <v xml:space="preserve">TOPE CORREDERA 90º BLANCO </v>
      </c>
      <c r="C50" s="267"/>
      <c r="D50" s="267"/>
      <c r="E50" s="41"/>
      <c r="F50" s="126">
        <f>H13*2</f>
        <v>2</v>
      </c>
      <c r="G50" s="2"/>
    </row>
    <row r="51" spans="1:10" ht="19.75" customHeight="1" x14ac:dyDescent="0.2">
      <c r="B51" s="264" t="s">
        <v>173</v>
      </c>
      <c r="C51" s="265"/>
      <c r="D51" s="265"/>
      <c r="E51" s="41"/>
      <c r="F51" s="126">
        <f>F41*2</f>
        <v>4</v>
      </c>
      <c r="G51" s="2"/>
    </row>
    <row r="52" spans="1:10" ht="16.399999999999999" customHeight="1" x14ac:dyDescent="0.2">
      <c r="A52" s="280"/>
      <c r="B52" s="258" t="s">
        <v>176</v>
      </c>
      <c r="C52" s="259"/>
      <c r="D52" s="259"/>
      <c r="E52" s="41" t="s">
        <v>177</v>
      </c>
      <c r="F52" s="128">
        <f>(((B8*6)+(D14*8))*H13)/1000</f>
        <v>30.4</v>
      </c>
      <c r="G52" s="2"/>
    </row>
    <row r="53" spans="1:10" ht="17.5" customHeight="1" x14ac:dyDescent="0.2">
      <c r="A53" s="280"/>
      <c r="B53" s="266" t="str">
        <f>IF(H9='Hoja1 (2)'!V3,'Hoja1 (2)'!K4,IF(H9='Hoja1 (2)'!V4,'Hoja1 (2)'!K5,IF(H9='Hoja1 (2)'!V5,'Hoja1 (2)'!K6,IF(H9='Hoja1 (2)'!V6,'Hoja1 (2)'!K7,IF(H9='Hoja1 (2)'!V7,'Hoja1 (2)'!K3)))))</f>
        <v>SILICONA NEUTRA 300gr. BLANCO</v>
      </c>
      <c r="C53" s="267"/>
      <c r="D53" s="267"/>
      <c r="E53" s="41" t="s">
        <v>137</v>
      </c>
      <c r="F53" s="127">
        <f>((((B8*D14)/10000)*2)*0.7)/300*H13</f>
        <v>2.2400000000000002</v>
      </c>
      <c r="G53" s="2"/>
    </row>
    <row r="54" spans="1:10" ht="18.649999999999999" customHeight="1" x14ac:dyDescent="0.2">
      <c r="A54" s="280"/>
      <c r="B54" s="268" t="s">
        <v>182</v>
      </c>
      <c r="C54" s="269"/>
      <c r="D54" s="269"/>
      <c r="E54" s="41" t="s">
        <v>137</v>
      </c>
      <c r="F54" s="126">
        <f>H13*12</f>
        <v>12</v>
      </c>
      <c r="G54" s="2"/>
    </row>
    <row r="55" spans="1:10" ht="16.75" customHeight="1" x14ac:dyDescent="0.2">
      <c r="A55" s="280"/>
      <c r="B55" s="286" t="s">
        <v>185</v>
      </c>
      <c r="C55" s="287"/>
      <c r="D55" s="287"/>
      <c r="E55" s="41" t="s">
        <v>137</v>
      </c>
      <c r="F55" s="126">
        <f>F54</f>
        <v>12</v>
      </c>
      <c r="G55" s="2"/>
    </row>
    <row r="56" spans="1:10" ht="15.65" customHeight="1" x14ac:dyDescent="0.2">
      <c r="A56" s="280"/>
      <c r="B56" s="258" t="s">
        <v>188</v>
      </c>
      <c r="C56" s="259"/>
      <c r="D56" s="259"/>
      <c r="E56" s="41" t="s">
        <v>137</v>
      </c>
      <c r="F56" s="126">
        <f>F54</f>
        <v>12</v>
      </c>
      <c r="G56" s="2"/>
    </row>
    <row r="57" spans="1:10" ht="15" customHeight="1" thickBot="1" x14ac:dyDescent="0.25">
      <c r="A57" s="280"/>
      <c r="B57" s="258" t="s">
        <v>191</v>
      </c>
      <c r="C57" s="259"/>
      <c r="D57" s="259"/>
      <c r="E57" s="41" t="s">
        <v>137</v>
      </c>
      <c r="F57" s="126">
        <f>F54</f>
        <v>12</v>
      </c>
      <c r="G57" s="2"/>
    </row>
    <row r="58" spans="1:10" ht="16.399999999999999" customHeight="1" thickBot="1" x14ac:dyDescent="0.25">
      <c r="B58" s="266" t="str">
        <f>IF(B42='Hoja1 (2)'!D5,'Dobleriel S75asimetrica hoja 98'!D61,IF('Dobleriel S75asimetrica hoja 98'!B42:D42='Hoja1 (2)'!D6,'Dobleriel S75asimetrica hoja 98'!D61,IF('Dobleriel S75asimetrica hoja 98'!B42:D42='Hoja1 (2)'!D3,'Dobleriel S75asimetrica hoja 98'!D62)))</f>
        <v>SUPLEMENTO CELSUS 16,5 MM + 18,5 MM.</v>
      </c>
      <c r="C58" s="267"/>
      <c r="D58" s="267"/>
      <c r="E58" s="41" t="s">
        <v>137</v>
      </c>
      <c r="F58" s="126">
        <f>H13*4</f>
        <v>4</v>
      </c>
      <c r="G58" s="225" t="s">
        <v>245</v>
      </c>
    </row>
    <row r="59" spans="1:10" ht="17.5" customHeight="1" thickBot="1" x14ac:dyDescent="0.25">
      <c r="B59" s="266" t="b">
        <f>IF(B43='Hoja1 (2)'!D6,'Dobleriel S75asimetrica hoja 98'!D61,IF('Dobleriel S75asimetrica hoja 98'!B43:D43='Hoja1 (2)'!D7,'Dobleriel S75asimetrica hoja 98'!D61,IF('Dobleriel S75asimetrica hoja 98'!B43:D43='Hoja1 (2)'!D4,'Dobleriel S75asimetrica hoja 98'!D62)))</f>
        <v>0</v>
      </c>
      <c r="C59" s="267"/>
      <c r="D59" s="267"/>
      <c r="E59" s="41" t="s">
        <v>137</v>
      </c>
      <c r="F59" s="126">
        <f>H13*4</f>
        <v>4</v>
      </c>
      <c r="G59" s="225" t="s">
        <v>246</v>
      </c>
    </row>
    <row r="60" spans="1:10" ht="15.65" customHeight="1" thickBot="1" x14ac:dyDescent="0.25">
      <c r="B60" s="306" t="s">
        <v>202</v>
      </c>
      <c r="C60" s="307"/>
      <c r="D60" s="307"/>
      <c r="E60" s="129" t="s">
        <v>137</v>
      </c>
      <c r="F60" s="130">
        <f>2</f>
        <v>2</v>
      </c>
    </row>
    <row r="61" spans="1:10" ht="16.75" hidden="1" customHeight="1" x14ac:dyDescent="0.2">
      <c r="D61" s="1" t="s">
        <v>214</v>
      </c>
    </row>
    <row r="62" spans="1:10" ht="15" hidden="1" customHeight="1" x14ac:dyDescent="0.2">
      <c r="D62" s="1" t="s">
        <v>215</v>
      </c>
    </row>
    <row r="63" spans="1:10" ht="18" customHeight="1" x14ac:dyDescent="0.2"/>
  </sheetData>
  <sheetProtection algorithmName="SHA-512" hashValue="nguC7lmeXVktVzsY/PXaff7fIblsTUywOsSBW80QS8lr0tbCVlf6MILU5kFvYk43JLyEMarKb/1orJIZLVuZ7Q==" saltValue="7ByQAgcIUEPdeBlEdVwuVA==" spinCount="100000" sheet="1" objects="1" scenarios="1"/>
  <mergeCells count="61">
    <mergeCell ref="B60:D60"/>
    <mergeCell ref="B49:D49"/>
    <mergeCell ref="B50:D50"/>
    <mergeCell ref="B55:D55"/>
    <mergeCell ref="B58:D58"/>
    <mergeCell ref="B59:D59"/>
    <mergeCell ref="B56:D56"/>
    <mergeCell ref="B54:D54"/>
    <mergeCell ref="B53:D53"/>
    <mergeCell ref="H43:I43"/>
    <mergeCell ref="H47:I47"/>
    <mergeCell ref="H48:I48"/>
    <mergeCell ref="B51:D51"/>
    <mergeCell ref="B52:D52"/>
    <mergeCell ref="H49:I49"/>
    <mergeCell ref="B46:D46"/>
    <mergeCell ref="B47:D47"/>
    <mergeCell ref="B48:D48"/>
    <mergeCell ref="H45:I45"/>
    <mergeCell ref="B45:D45"/>
    <mergeCell ref="C24:E24"/>
    <mergeCell ref="C25:E25"/>
    <mergeCell ref="C26:E26"/>
    <mergeCell ref="H11:I11"/>
    <mergeCell ref="H17:I17"/>
    <mergeCell ref="C18:E18"/>
    <mergeCell ref="C19:E19"/>
    <mergeCell ref="C20:E20"/>
    <mergeCell ref="C21:E21"/>
    <mergeCell ref="H9:I9"/>
    <mergeCell ref="H10:I10"/>
    <mergeCell ref="C29:E29"/>
    <mergeCell ref="A52:A57"/>
    <mergeCell ref="C27:E27"/>
    <mergeCell ref="C22:E22"/>
    <mergeCell ref="C23:E23"/>
    <mergeCell ref="C37:F37"/>
    <mergeCell ref="C38:F38"/>
    <mergeCell ref="C30:E30"/>
    <mergeCell ref="C31:E31"/>
    <mergeCell ref="C32:E32"/>
    <mergeCell ref="C33:E33"/>
    <mergeCell ref="C36:F36"/>
    <mergeCell ref="B57:D57"/>
    <mergeCell ref="C17:E17"/>
    <mergeCell ref="H40:I40"/>
    <mergeCell ref="G5:H5"/>
    <mergeCell ref="I2:J5"/>
    <mergeCell ref="B2:H2"/>
    <mergeCell ref="H44:I44"/>
    <mergeCell ref="B40:D40"/>
    <mergeCell ref="B41:D41"/>
    <mergeCell ref="B42:D42"/>
    <mergeCell ref="B43:D43"/>
    <mergeCell ref="B44:D44"/>
    <mergeCell ref="C5:E12"/>
    <mergeCell ref="H7:I7"/>
    <mergeCell ref="H8:I8"/>
    <mergeCell ref="H41:I41"/>
    <mergeCell ref="H42:I42"/>
    <mergeCell ref="C28:E28"/>
  </mergeCells>
  <dataValidations count="1">
    <dataValidation type="list" allowBlank="1" showInputMessage="1" showErrorMessage="1" sqref="H11:I11" xr:uid="{00000000-0002-0000-0600-000000000000}">
      <formula1>$N$6:$N$20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  <headerFooter>
    <oddHeader>&amp;L&amp;D&amp;R&amp;G</oddHeader>
    <oddFooter>&amp;F</oddFooter>
  </headerFooter>
  <ignoredErrors>
    <ignoredError sqref="F24 F27" formula="1"/>
  </ignoredError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'Hoja1 (2)'!$V$3:$V$7</xm:f>
          </x14:formula1>
          <xm:sqref>H9:I9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0"/>
  <sheetViews>
    <sheetView topLeftCell="A4" zoomScaleNormal="100" workbookViewId="0">
      <selection activeCell="G21" sqref="G21"/>
    </sheetView>
  </sheetViews>
  <sheetFormatPr baseColWidth="10" defaultColWidth="11.453125" defaultRowHeight="10" x14ac:dyDescent="0.2"/>
  <cols>
    <col min="1" max="1" width="4.1796875" style="2" customWidth="1"/>
    <col min="2" max="2" width="18.81640625" style="1" bestFit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4.54296875" style="1" customWidth="1"/>
    <col min="8" max="8" width="9.1796875" style="1" customWidth="1"/>
    <col min="9" max="9" width="10.54296875" style="1" customWidth="1"/>
    <col min="10" max="10" width="17.453125" style="1" bestFit="1" customWidth="1"/>
    <col min="11" max="18" width="17.54296875" style="2" hidden="1" customWidth="1"/>
    <col min="19" max="19" width="12" style="2" hidden="1" customWidth="1"/>
    <col min="20" max="20" width="41.81640625" style="2" hidden="1" customWidth="1"/>
    <col min="21" max="21" width="26.81640625" style="2" hidden="1" customWidth="1"/>
    <col min="22" max="22" width="32.54296875" style="5" hidden="1" customWidth="1"/>
    <col min="23" max="23" width="22.453125" style="2" hidden="1" customWidth="1"/>
    <col min="24" max="24" width="26.81640625" style="2" hidden="1" customWidth="1"/>
    <col min="25" max="26" width="11.453125" style="2" hidden="1" customWidth="1"/>
    <col min="27" max="27" width="37.1796875" style="2" customWidth="1"/>
    <col min="28" max="30" width="11.453125" style="2" customWidth="1"/>
    <col min="31" max="16384" width="11.453125" style="2"/>
  </cols>
  <sheetData>
    <row r="1" spans="2:26" ht="21" customHeight="1" thickBot="1" x14ac:dyDescent="0.25"/>
    <row r="2" spans="2:26" ht="39" customHeight="1" thickBot="1" x14ac:dyDescent="0.25">
      <c r="B2" s="91"/>
      <c r="C2" s="92"/>
      <c r="D2" s="93" t="s">
        <v>2</v>
      </c>
      <c r="E2" s="92"/>
      <c r="F2" s="92"/>
      <c r="G2" s="94"/>
      <c r="H2" s="289"/>
      <c r="I2" s="289"/>
      <c r="J2" s="290"/>
      <c r="M2" s="50" t="str">
        <f>H11</f>
        <v>22 mm   -    6 inc+10+6 lam</v>
      </c>
    </row>
    <row r="3" spans="2:26" ht="22" x14ac:dyDescent="0.2">
      <c r="B3" s="95"/>
      <c r="C3" s="4"/>
      <c r="D3" s="2"/>
      <c r="H3" s="291"/>
      <c r="I3" s="291"/>
      <c r="J3" s="292"/>
      <c r="K3" s="2">
        <v>3.7</v>
      </c>
      <c r="L3" s="18" t="str">
        <f>N3&amp;" -    "&amp;M3&amp;" "&amp;"mm"</f>
        <v>Semilla -    3.7 mm</v>
      </c>
      <c r="M3" s="1" t="s">
        <v>3</v>
      </c>
      <c r="N3" s="1" t="s">
        <v>4</v>
      </c>
      <c r="O3" s="2" t="s">
        <v>5</v>
      </c>
      <c r="Q3" s="1" t="s">
        <v>6</v>
      </c>
      <c r="R3" s="1"/>
      <c r="S3" s="18" t="s">
        <v>7</v>
      </c>
    </row>
    <row r="4" spans="2:26" ht="15.65" customHeight="1" thickBot="1" x14ac:dyDescent="0.25">
      <c r="B4" s="95"/>
      <c r="C4" s="298"/>
      <c r="H4" s="293"/>
      <c r="I4" s="293"/>
      <c r="J4" s="294"/>
      <c r="K4" s="2">
        <v>4</v>
      </c>
      <c r="L4" s="18" t="str">
        <f>M4&amp;" "&amp;"mm"&amp;"     -    "&amp;N4</f>
        <v>4 mm     -    Incoloro</v>
      </c>
      <c r="M4" s="1">
        <v>4</v>
      </c>
      <c r="N4" s="1" t="s">
        <v>8</v>
      </c>
      <c r="O4" s="2" t="s">
        <v>9</v>
      </c>
      <c r="Q4" s="1" t="s">
        <v>6</v>
      </c>
      <c r="R4" s="1"/>
      <c r="S4" s="18" t="s">
        <v>10</v>
      </c>
    </row>
    <row r="5" spans="2:26" ht="21" customHeight="1" thickBot="1" x14ac:dyDescent="0.25">
      <c r="B5" s="95"/>
      <c r="C5" s="298"/>
      <c r="G5" s="300" t="s">
        <v>13</v>
      </c>
      <c r="H5" s="301"/>
      <c r="I5" s="301"/>
      <c r="J5" s="302"/>
      <c r="K5" s="2">
        <v>4</v>
      </c>
      <c r="L5" s="18" t="str">
        <f>M5&amp;" "&amp;"mm"&amp;"     -    "&amp;N5</f>
        <v>4 mm     -    Saten</v>
      </c>
      <c r="M5" s="1">
        <v>4</v>
      </c>
      <c r="N5" s="1" t="s">
        <v>11</v>
      </c>
      <c r="O5" s="2" t="s">
        <v>12</v>
      </c>
      <c r="Q5" s="1" t="s">
        <v>6</v>
      </c>
      <c r="R5" s="1"/>
      <c r="S5" s="18" t="s">
        <v>10</v>
      </c>
      <c r="V5" s="12" t="s">
        <v>15</v>
      </c>
      <c r="W5" s="2" t="s">
        <v>16</v>
      </c>
      <c r="X5" s="2" t="s">
        <v>17</v>
      </c>
      <c r="Y5" s="2" t="s">
        <v>18</v>
      </c>
      <c r="Z5" s="2" t="s">
        <v>19</v>
      </c>
    </row>
    <row r="6" spans="2:26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2">
        <v>5</v>
      </c>
      <c r="L6" s="18" t="str">
        <f>M6&amp;" "&amp;"mm"&amp;"     -    "&amp;N6</f>
        <v>5 mm     -    Incoloro</v>
      </c>
      <c r="M6" s="1">
        <v>5</v>
      </c>
      <c r="N6" s="1" t="s">
        <v>8</v>
      </c>
      <c r="O6" s="2" t="s">
        <v>14</v>
      </c>
      <c r="Q6" s="1" t="s">
        <v>6</v>
      </c>
      <c r="R6" s="1"/>
      <c r="S6" s="18" t="s">
        <v>10</v>
      </c>
      <c r="T6" s="2" t="s">
        <v>23</v>
      </c>
      <c r="U6" s="13" t="s">
        <v>24</v>
      </c>
      <c r="V6" s="12" t="s">
        <v>25</v>
      </c>
      <c r="W6" s="2" t="s">
        <v>26</v>
      </c>
      <c r="X6" s="2">
        <v>80</v>
      </c>
      <c r="Y6" s="2">
        <v>62</v>
      </c>
      <c r="Z6" s="2">
        <v>2</v>
      </c>
    </row>
    <row r="7" spans="2:26" ht="15" customHeight="1" x14ac:dyDescent="0.2">
      <c r="B7" s="95"/>
      <c r="C7" s="298"/>
      <c r="D7" s="96"/>
      <c r="E7" s="96"/>
      <c r="G7" s="51" t="s">
        <v>27</v>
      </c>
      <c r="H7" s="303" t="str">
        <f>C12&amp;"  "&amp;"mm"&amp;" "&amp;"x"&amp;" "&amp;B8&amp;" "&amp;"mm"</f>
        <v>2000  mm x 1000 mm</v>
      </c>
      <c r="I7" s="303"/>
      <c r="J7" s="99"/>
      <c r="K7" s="2">
        <v>6</v>
      </c>
      <c r="L7" s="18" t="str">
        <f>M7&amp;" "&amp;"mm"&amp;"     -    "&amp;N7</f>
        <v>6 mm     -    Incoloro</v>
      </c>
      <c r="M7" s="1">
        <v>6</v>
      </c>
      <c r="N7" s="1" t="s">
        <v>8</v>
      </c>
      <c r="O7" s="2" t="s">
        <v>22</v>
      </c>
      <c r="Q7" s="1" t="s">
        <v>6</v>
      </c>
      <c r="R7" s="1"/>
      <c r="S7" s="18" t="s">
        <v>10</v>
      </c>
      <c r="T7" s="2" t="s">
        <v>30</v>
      </c>
      <c r="U7" s="13" t="s">
        <v>31</v>
      </c>
      <c r="V7" s="12" t="s">
        <v>32</v>
      </c>
      <c r="W7" s="2" t="s">
        <v>33</v>
      </c>
      <c r="X7" s="2">
        <v>98</v>
      </c>
      <c r="Y7" s="2">
        <v>80</v>
      </c>
      <c r="Z7" s="2">
        <v>3</v>
      </c>
    </row>
    <row r="8" spans="2:26" ht="21.65" customHeight="1" x14ac:dyDescent="0.2">
      <c r="B8" s="98">
        <v>1000</v>
      </c>
      <c r="C8" s="298"/>
      <c r="D8" s="96"/>
      <c r="E8" s="96"/>
      <c r="F8" s="2"/>
      <c r="G8" s="51" t="s">
        <v>34</v>
      </c>
      <c r="H8" s="304" t="s">
        <v>35</v>
      </c>
      <c r="I8" s="304"/>
      <c r="J8" s="99"/>
      <c r="K8" s="2">
        <v>6</v>
      </c>
      <c r="L8" s="18" t="str">
        <f>M8&amp;" "&amp;"mm"&amp;"     -    "&amp;N8</f>
        <v>6 mm     -    Laminado</v>
      </c>
      <c r="M8" s="1">
        <v>6</v>
      </c>
      <c r="N8" s="1" t="s">
        <v>28</v>
      </c>
      <c r="O8" s="2" t="s">
        <v>29</v>
      </c>
      <c r="Q8" s="1" t="s">
        <v>6</v>
      </c>
      <c r="R8" s="1"/>
      <c r="S8" s="18" t="s">
        <v>10</v>
      </c>
      <c r="T8" s="2" t="s">
        <v>40</v>
      </c>
      <c r="U8" s="13" t="s">
        <v>41</v>
      </c>
      <c r="V8" s="12" t="s">
        <v>42</v>
      </c>
    </row>
    <row r="9" spans="2:26" ht="21" customHeight="1" x14ac:dyDescent="0.2">
      <c r="B9" s="95"/>
      <c r="C9" s="298"/>
      <c r="D9" s="96"/>
      <c r="E9" s="96"/>
      <c r="G9" s="51" t="s">
        <v>43</v>
      </c>
      <c r="H9" s="341" t="s">
        <v>32</v>
      </c>
      <c r="I9" s="341"/>
      <c r="J9" s="100"/>
      <c r="K9" s="2">
        <v>8</v>
      </c>
      <c r="L9" s="18" t="str">
        <f t="shared" ref="L9:L16" si="0">M9&amp;" "&amp;"mm"&amp;"   -    "&amp;N9</f>
        <v>18 mm   -    4 inc+10+4 inc</v>
      </c>
      <c r="M9" s="1">
        <v>18</v>
      </c>
      <c r="N9" s="1" t="s">
        <v>36</v>
      </c>
      <c r="O9" s="2" t="s">
        <v>37</v>
      </c>
      <c r="Q9" s="1" t="s">
        <v>38</v>
      </c>
      <c r="R9" s="1"/>
      <c r="S9" s="18" t="s">
        <v>39</v>
      </c>
      <c r="V9" s="12" t="s">
        <v>44</v>
      </c>
    </row>
    <row r="10" spans="2:26" ht="21" customHeight="1" x14ac:dyDescent="0.2">
      <c r="B10" s="95"/>
      <c r="C10" s="298"/>
      <c r="D10" s="96"/>
      <c r="E10" s="96"/>
      <c r="G10" s="51" t="s">
        <v>47</v>
      </c>
      <c r="H10" s="304">
        <v>2</v>
      </c>
      <c r="I10" s="304"/>
      <c r="J10" s="99"/>
      <c r="K10" s="2">
        <v>8</v>
      </c>
      <c r="L10" s="18" t="str">
        <f t="shared" si="0"/>
        <v>18 mm   -    4 inc+10+4 sat</v>
      </c>
      <c r="M10" s="1">
        <v>18</v>
      </c>
      <c r="N10" s="1" t="s">
        <v>45</v>
      </c>
      <c r="O10" s="2" t="s">
        <v>46</v>
      </c>
      <c r="Q10" s="1" t="s">
        <v>38</v>
      </c>
      <c r="R10" s="1"/>
      <c r="S10" s="18" t="s">
        <v>39</v>
      </c>
      <c r="V10" s="1" t="s">
        <v>50</v>
      </c>
    </row>
    <row r="11" spans="2:26" ht="21" customHeight="1" x14ac:dyDescent="0.2">
      <c r="B11" s="101"/>
      <c r="C11" s="299"/>
      <c r="D11" s="96"/>
      <c r="E11" s="96"/>
      <c r="G11" s="51" t="s">
        <v>51</v>
      </c>
      <c r="H11" s="295" t="s">
        <v>71</v>
      </c>
      <c r="I11" s="295"/>
      <c r="J11" s="102"/>
      <c r="K11" s="2">
        <v>10</v>
      </c>
      <c r="L11" s="18" t="str">
        <f t="shared" si="0"/>
        <v>18 mm   -    5 inc+8+5 inc</v>
      </c>
      <c r="M11" s="1">
        <v>18</v>
      </c>
      <c r="N11" s="1" t="s">
        <v>48</v>
      </c>
      <c r="O11" s="2" t="s">
        <v>49</v>
      </c>
      <c r="Q11" s="1" t="s">
        <v>38</v>
      </c>
      <c r="R11" s="1"/>
      <c r="S11" s="18" t="s">
        <v>39</v>
      </c>
    </row>
    <row r="12" spans="2:26" ht="21" customHeight="1" x14ac:dyDescent="0.2">
      <c r="B12" s="95"/>
      <c r="C12" s="37">
        <v>2000</v>
      </c>
      <c r="G12" s="51" t="s">
        <v>55</v>
      </c>
      <c r="H12" s="7">
        <f>C12*B8/1000000</f>
        <v>2</v>
      </c>
      <c r="I12" s="8" t="s">
        <v>56</v>
      </c>
      <c r="J12" s="103"/>
      <c r="K12" s="2">
        <v>9</v>
      </c>
      <c r="L12" s="18" t="str">
        <f t="shared" si="0"/>
        <v>19 mm   -    4 inc+10+5 inc</v>
      </c>
      <c r="M12" s="1">
        <v>19</v>
      </c>
      <c r="N12" s="1" t="s">
        <v>53</v>
      </c>
      <c r="O12" s="2" t="s">
        <v>54</v>
      </c>
      <c r="Q12" s="1" t="s">
        <v>38</v>
      </c>
      <c r="R12" s="1"/>
      <c r="S12" s="18" t="s">
        <v>39</v>
      </c>
      <c r="V12" s="2"/>
    </row>
    <row r="13" spans="2:26" ht="21" customHeight="1" x14ac:dyDescent="0.2">
      <c r="B13" s="95"/>
      <c r="C13" s="104"/>
      <c r="E13" s="105"/>
      <c r="G13" s="52" t="s">
        <v>59</v>
      </c>
      <c r="H13" s="53">
        <v>1</v>
      </c>
      <c r="I13" s="8" t="s">
        <v>60</v>
      </c>
      <c r="J13" s="102"/>
      <c r="K13" s="27">
        <v>11</v>
      </c>
      <c r="L13" s="18" t="str">
        <f t="shared" si="0"/>
        <v>19 mm   -    5 inc+8+6 inc</v>
      </c>
      <c r="M13" s="1">
        <v>19</v>
      </c>
      <c r="N13" s="1" t="s">
        <v>57</v>
      </c>
      <c r="O13" s="2" t="s">
        <v>58</v>
      </c>
      <c r="P13" s="1"/>
      <c r="Q13" s="1" t="s">
        <v>38</v>
      </c>
      <c r="R13" s="1"/>
      <c r="S13" s="18" t="s">
        <v>39</v>
      </c>
      <c r="V13" s="2"/>
    </row>
    <row r="14" spans="2:26" s="3" customFormat="1" ht="21" customHeight="1" thickBot="1" x14ac:dyDescent="0.25">
      <c r="B14" s="106"/>
      <c r="C14" s="107"/>
      <c r="D14" s="107"/>
      <c r="E14" s="107"/>
      <c r="F14" s="107"/>
      <c r="G14" s="108" t="s">
        <v>208</v>
      </c>
      <c r="H14" s="109">
        <f>IF(H11=L3,((H12/3)*K3*2.54*1.3),IF(H11=L4,((H12/3)*K4*2.54*1.3),IF(H11=L5,((H12/3)*K5*2.54*1.3),IF(H11=L6,((H12/3)*K6*2.54*1.3),IF(H11=L7,((H12/3)*K7*2.54*1.3),IF(H11=L8,((H12/3)*K8*2.54*1.3),IF(H11=L9,((H12/3)*K9*2.54*1.3),IF(H11=L10,((H12/3)*K10*2.54*1.3),IF(H11=L11,((H12/3)*K11*2.54*1.3),IF(H11=L12,((H12/3)*K12*2.54*1.3),IF(H11=L13,((H12/3)*K13*2.54*1.3),IF(H11=L14,((H12/2)*K14*2.54*1.3),IF(H11=L16,((H12/3)*K16*2.54*1.3),IF(H11=L17,((H12/3)*K17*2.54*1.3)))))))))))))))</f>
        <v>26.416</v>
      </c>
      <c r="I14" s="107"/>
      <c r="J14" s="110"/>
      <c r="K14" s="2">
        <v>11</v>
      </c>
      <c r="L14" s="18" t="str">
        <f t="shared" si="0"/>
        <v>19 mm   -    5 inc+8+6 lam</v>
      </c>
      <c r="M14" s="1">
        <v>19</v>
      </c>
      <c r="N14" s="1" t="s">
        <v>61</v>
      </c>
      <c r="O14" s="2" t="s">
        <v>62</v>
      </c>
      <c r="P14" s="2"/>
      <c r="Q14" s="1" t="s">
        <v>38</v>
      </c>
      <c r="R14" s="1"/>
      <c r="S14" s="18" t="s">
        <v>39</v>
      </c>
      <c r="T14" s="2"/>
      <c r="U14" s="2"/>
      <c r="V14" s="2"/>
      <c r="W14" s="2"/>
      <c r="X14" s="2"/>
      <c r="Y14" s="2"/>
    </row>
    <row r="15" spans="2:26" s="3" customFormat="1" ht="21" customHeight="1" thickBot="1" x14ac:dyDescent="0.25">
      <c r="G15" s="89"/>
      <c r="H15" s="90"/>
      <c r="K15" s="2"/>
      <c r="L15" s="18"/>
      <c r="M15" s="1"/>
      <c r="N15" s="1"/>
      <c r="O15" s="2"/>
      <c r="P15" s="2"/>
      <c r="Q15" s="1"/>
      <c r="R15" s="1"/>
      <c r="S15" s="18"/>
      <c r="T15" s="2"/>
      <c r="U15" s="2"/>
      <c r="V15" s="2"/>
      <c r="W15" s="2"/>
      <c r="X15" s="2"/>
      <c r="Y15" s="2"/>
    </row>
    <row r="16" spans="2:26" ht="15" customHeight="1" thickBot="1" x14ac:dyDescent="0.25">
      <c r="B16" s="296" t="s">
        <v>66</v>
      </c>
      <c r="C16" s="310"/>
      <c r="D16" s="297"/>
      <c r="E16" s="138"/>
      <c r="F16" s="116" t="s">
        <v>67</v>
      </c>
      <c r="G16" s="116" t="s">
        <v>68</v>
      </c>
      <c r="H16" s="296" t="s">
        <v>69</v>
      </c>
      <c r="I16" s="297"/>
      <c r="J16" s="116" t="s">
        <v>70</v>
      </c>
      <c r="K16" s="2">
        <v>10</v>
      </c>
      <c r="L16" s="18" t="str">
        <f t="shared" si="0"/>
        <v>20 mm   -    4 inc+10+6 lam</v>
      </c>
      <c r="M16" s="1">
        <v>20</v>
      </c>
      <c r="N16" s="1" t="s">
        <v>64</v>
      </c>
      <c r="O16" s="2" t="s">
        <v>65</v>
      </c>
      <c r="Q16" s="1" t="s">
        <v>38</v>
      </c>
      <c r="R16" s="1"/>
      <c r="S16" s="18" t="s">
        <v>39</v>
      </c>
      <c r="V16" s="2"/>
    </row>
    <row r="17" spans="2:24" ht="15" customHeight="1" x14ac:dyDescent="0.2">
      <c r="B17" s="308" t="s">
        <v>231</v>
      </c>
      <c r="C17" s="309"/>
      <c r="D17" s="309"/>
      <c r="E17" s="43"/>
      <c r="F17" s="186">
        <f>H13*2</f>
        <v>2</v>
      </c>
      <c r="G17" s="241">
        <f>C12+5</f>
        <v>2005</v>
      </c>
      <c r="H17" s="186" t="s">
        <v>75</v>
      </c>
      <c r="I17" s="186" t="s">
        <v>75</v>
      </c>
      <c r="J17" s="248" t="s">
        <v>76</v>
      </c>
      <c r="K17" s="2">
        <v>12</v>
      </c>
      <c r="L17" s="2" t="s">
        <v>71</v>
      </c>
      <c r="M17" s="12">
        <v>22</v>
      </c>
      <c r="N17" s="1" t="s">
        <v>72</v>
      </c>
      <c r="O17" s="2" t="s">
        <v>73</v>
      </c>
      <c r="S17" s="18" t="s">
        <v>74</v>
      </c>
      <c r="U17" s="12" t="s">
        <v>15</v>
      </c>
      <c r="V17" s="2"/>
    </row>
    <row r="18" spans="2:24" ht="15" customHeight="1" x14ac:dyDescent="0.2">
      <c r="B18" s="260" t="str">
        <f>B17</f>
        <v>MARCO DOBLE RIEL CORREDERA S75</v>
      </c>
      <c r="C18" s="261"/>
      <c r="D18" s="261"/>
      <c r="E18" s="43"/>
      <c r="F18" s="43">
        <f>F17</f>
        <v>2</v>
      </c>
      <c r="G18" s="15">
        <f>B8+5</f>
        <v>1005</v>
      </c>
      <c r="H18" s="43" t="s">
        <v>75</v>
      </c>
      <c r="I18" s="43" t="s">
        <v>75</v>
      </c>
      <c r="J18" s="141" t="s">
        <v>77</v>
      </c>
      <c r="O18" s="18" t="s">
        <v>10</v>
      </c>
      <c r="Q18" s="1" t="s">
        <v>6</v>
      </c>
      <c r="T18" s="2" t="s">
        <v>79</v>
      </c>
      <c r="U18" s="12" t="s">
        <v>32</v>
      </c>
      <c r="V18" s="2"/>
      <c r="W18" s="36" t="s">
        <v>80</v>
      </c>
      <c r="X18" s="36" t="s">
        <v>81</v>
      </c>
    </row>
    <row r="19" spans="2:24" ht="15" customHeight="1" x14ac:dyDescent="0.2">
      <c r="B19" s="260" t="s">
        <v>82</v>
      </c>
      <c r="C19" s="261"/>
      <c r="D19" s="261"/>
      <c r="E19" s="43"/>
      <c r="F19" s="43">
        <f>IF(H10=Z7,H10+1,IF(H10=Z6,H10*1))*H13</f>
        <v>2</v>
      </c>
      <c r="G19" s="15">
        <f>G17-85</f>
        <v>1920</v>
      </c>
      <c r="H19" s="43" t="s">
        <v>83</v>
      </c>
      <c r="I19" s="43" t="s">
        <v>83</v>
      </c>
      <c r="J19" s="141" t="s">
        <v>76</v>
      </c>
      <c r="K19" s="232"/>
      <c r="L19" s="232"/>
      <c r="M19" s="232"/>
      <c r="N19" s="232"/>
      <c r="O19" s="232"/>
      <c r="P19" s="232"/>
      <c r="Q19" s="232"/>
      <c r="R19" s="232"/>
      <c r="S19" s="2" t="s">
        <v>84</v>
      </c>
      <c r="T19" s="2" t="s">
        <v>85</v>
      </c>
      <c r="U19" s="12" t="s">
        <v>42</v>
      </c>
      <c r="W19" s="36" t="s">
        <v>86</v>
      </c>
      <c r="X19" s="36" t="s">
        <v>87</v>
      </c>
    </row>
    <row r="20" spans="2:24" ht="15" customHeight="1" x14ac:dyDescent="0.2">
      <c r="B20" s="260" t="s">
        <v>82</v>
      </c>
      <c r="C20" s="261"/>
      <c r="D20" s="261"/>
      <c r="E20" s="43"/>
      <c r="F20" s="43">
        <f>F19</f>
        <v>2</v>
      </c>
      <c r="G20" s="15">
        <f>G18-85</f>
        <v>920</v>
      </c>
      <c r="H20" s="43" t="s">
        <v>83</v>
      </c>
      <c r="I20" s="43" t="s">
        <v>83</v>
      </c>
      <c r="J20" s="141" t="s">
        <v>77</v>
      </c>
      <c r="K20" s="232"/>
      <c r="L20" s="232"/>
      <c r="M20" s="232"/>
      <c r="N20" s="232"/>
      <c r="O20" s="232"/>
      <c r="P20" s="232"/>
      <c r="Q20" s="232"/>
      <c r="R20" s="232"/>
      <c r="S20" s="2" t="s">
        <v>88</v>
      </c>
      <c r="T20" s="2" t="s">
        <v>89</v>
      </c>
      <c r="U20" s="12" t="s">
        <v>44</v>
      </c>
      <c r="V20" s="2"/>
      <c r="W20" s="36" t="s">
        <v>90</v>
      </c>
      <c r="X20" s="36" t="s">
        <v>91</v>
      </c>
    </row>
    <row r="21" spans="2:24" ht="15" customHeight="1" x14ac:dyDescent="0.2">
      <c r="B21" s="260" t="s">
        <v>217</v>
      </c>
      <c r="C21" s="261"/>
      <c r="D21" s="261"/>
      <c r="E21" s="43"/>
      <c r="F21" s="43">
        <f>(H10*3)*H13</f>
        <v>6</v>
      </c>
      <c r="G21" s="15">
        <f>(C12-48-48+16)/3+5+53</f>
        <v>698</v>
      </c>
      <c r="H21" s="43" t="s">
        <v>75</v>
      </c>
      <c r="I21" s="43" t="s">
        <v>75</v>
      </c>
      <c r="J21" s="141" t="s">
        <v>218</v>
      </c>
      <c r="K21" s="232"/>
      <c r="L21" s="232"/>
      <c r="M21" s="232"/>
      <c r="N21" s="232"/>
      <c r="O21" s="232"/>
      <c r="P21" s="232"/>
      <c r="Q21" s="232"/>
      <c r="R21" s="232"/>
      <c r="S21" s="2" t="s">
        <v>94</v>
      </c>
      <c r="T21" s="2" t="s">
        <v>95</v>
      </c>
      <c r="U21" s="12" t="s">
        <v>25</v>
      </c>
      <c r="W21" s="36" t="s">
        <v>96</v>
      </c>
      <c r="X21" s="36" t="s">
        <v>97</v>
      </c>
    </row>
    <row r="22" spans="2:24" ht="15" customHeight="1" x14ac:dyDescent="0.25">
      <c r="B22" s="260" t="str">
        <f>B21</f>
        <v>HOJA CORREDERA 80</v>
      </c>
      <c r="C22" s="261"/>
      <c r="D22" s="261"/>
      <c r="E22" s="43"/>
      <c r="F22" s="43">
        <f>F21</f>
        <v>6</v>
      </c>
      <c r="G22" s="15">
        <f>B8-48-48+16+5</f>
        <v>925</v>
      </c>
      <c r="H22" s="43" t="s">
        <v>75</v>
      </c>
      <c r="I22" s="43" t="s">
        <v>75</v>
      </c>
      <c r="J22" s="141" t="s">
        <v>212</v>
      </c>
      <c r="K22" s="232"/>
      <c r="L22" s="232"/>
      <c r="M22" s="232"/>
      <c r="N22" s="232"/>
      <c r="O22" s="232"/>
      <c r="P22" s="232"/>
      <c r="Q22" s="232"/>
      <c r="R22" s="232"/>
      <c r="S22" s="2" t="s">
        <v>99</v>
      </c>
      <c r="T22" s="2" t="s">
        <v>100</v>
      </c>
      <c r="U22" s="1" t="s">
        <v>50</v>
      </c>
      <c r="V22" s="2"/>
      <c r="W22" s="17" t="s">
        <v>101</v>
      </c>
      <c r="X22" s="36" t="s">
        <v>102</v>
      </c>
    </row>
    <row r="23" spans="2:24" ht="15" customHeight="1" x14ac:dyDescent="0.2">
      <c r="B23" s="260" t="s">
        <v>103</v>
      </c>
      <c r="C23" s="261"/>
      <c r="D23" s="261"/>
      <c r="E23" s="43"/>
      <c r="F23" s="43">
        <f>F22</f>
        <v>6</v>
      </c>
      <c r="G23" s="15">
        <f>G21-62-62-25</f>
        <v>549</v>
      </c>
      <c r="H23" s="43" t="s">
        <v>83</v>
      </c>
      <c r="I23" s="43" t="s">
        <v>83</v>
      </c>
      <c r="J23" s="141" t="s">
        <v>93</v>
      </c>
      <c r="K23" s="232"/>
      <c r="L23" s="232"/>
      <c r="M23" s="232"/>
      <c r="N23" s="232"/>
      <c r="O23" s="232"/>
      <c r="P23" s="232"/>
      <c r="Q23" s="232"/>
      <c r="R23" s="232"/>
      <c r="V23" s="2"/>
    </row>
    <row r="24" spans="2:24" ht="15" customHeight="1" x14ac:dyDescent="0.2">
      <c r="B24" s="260" t="str">
        <f>B23</f>
        <v>REF. NEW MULTIPLE 1,2</v>
      </c>
      <c r="C24" s="261"/>
      <c r="D24" s="261"/>
      <c r="E24" s="43"/>
      <c r="F24" s="43">
        <f>F23</f>
        <v>6</v>
      </c>
      <c r="G24" s="15">
        <f>G22-62-62-25</f>
        <v>776</v>
      </c>
      <c r="H24" s="43" t="s">
        <v>83</v>
      </c>
      <c r="I24" s="43" t="s">
        <v>83</v>
      </c>
      <c r="J24" s="141" t="s">
        <v>212</v>
      </c>
      <c r="K24" s="232"/>
      <c r="L24" s="232"/>
      <c r="M24" s="232"/>
      <c r="N24" s="232"/>
      <c r="O24" s="232"/>
      <c r="P24" s="232"/>
      <c r="Q24" s="232"/>
      <c r="R24" s="232"/>
      <c r="V24" s="13" t="s">
        <v>24</v>
      </c>
    </row>
    <row r="25" spans="2:24" ht="15" customHeight="1" x14ac:dyDescent="0.2">
      <c r="B25" s="277" t="s">
        <v>104</v>
      </c>
      <c r="C25" s="278"/>
      <c r="D25" s="279"/>
      <c r="E25" s="43"/>
      <c r="F25" s="43">
        <f>IF(G18&gt;=2300,4,0)</f>
        <v>0</v>
      </c>
      <c r="G25" s="15">
        <f>IF(F25&gt;=1,G22-62-62-25,0)</f>
        <v>0</v>
      </c>
      <c r="H25" s="43" t="s">
        <v>83</v>
      </c>
      <c r="I25" s="43" t="s">
        <v>83</v>
      </c>
      <c r="J25" s="141" t="s">
        <v>219</v>
      </c>
      <c r="K25" s="232"/>
      <c r="L25" s="232"/>
      <c r="M25" s="232"/>
      <c r="N25" s="232"/>
      <c r="O25" s="232"/>
      <c r="P25" s="232"/>
      <c r="Q25" s="232"/>
      <c r="R25" s="232"/>
      <c r="V25" s="13"/>
    </row>
    <row r="26" spans="2:24" ht="15" customHeight="1" x14ac:dyDescent="0.2">
      <c r="B26" s="260" t="s">
        <v>106</v>
      </c>
      <c r="C26" s="261"/>
      <c r="D26" s="261"/>
      <c r="E26" s="43"/>
      <c r="F26" s="43">
        <f>F18*2</f>
        <v>4</v>
      </c>
      <c r="G26" s="15">
        <f>G22-7</f>
        <v>918</v>
      </c>
      <c r="H26" s="43" t="s">
        <v>83</v>
      </c>
      <c r="I26" s="43" t="s">
        <v>83</v>
      </c>
      <c r="J26" s="141" t="s">
        <v>107</v>
      </c>
      <c r="K26" s="232"/>
      <c r="L26" s="232"/>
      <c r="M26" s="232"/>
      <c r="N26" s="232"/>
      <c r="O26" s="232"/>
      <c r="P26" s="232"/>
      <c r="Q26" s="232"/>
      <c r="R26" s="232"/>
      <c r="S26" s="36" t="s">
        <v>108</v>
      </c>
      <c r="T26" s="36" t="s">
        <v>109</v>
      </c>
      <c r="V26" s="13" t="s">
        <v>31</v>
      </c>
    </row>
    <row r="27" spans="2:24" ht="15" customHeight="1" x14ac:dyDescent="0.2">
      <c r="B27" s="260" t="s">
        <v>110</v>
      </c>
      <c r="C27" s="261"/>
      <c r="D27" s="261"/>
      <c r="E27" s="43"/>
      <c r="F27" s="43">
        <f>H10*H13</f>
        <v>2</v>
      </c>
      <c r="G27" s="15">
        <f>C12-48-48-1</f>
        <v>1903</v>
      </c>
      <c r="H27" s="43" t="s">
        <v>75</v>
      </c>
      <c r="I27" s="43" t="s">
        <v>75</v>
      </c>
      <c r="J27" s="141" t="s">
        <v>111</v>
      </c>
      <c r="K27" s="232"/>
      <c r="L27" s="232"/>
      <c r="M27" s="232"/>
      <c r="N27" s="232"/>
      <c r="O27" s="232"/>
      <c r="P27" s="232"/>
      <c r="Q27" s="232"/>
      <c r="R27" s="232"/>
      <c r="S27" s="36" t="s">
        <v>112</v>
      </c>
      <c r="T27" s="36" t="s">
        <v>113</v>
      </c>
      <c r="V27" s="13" t="s">
        <v>41</v>
      </c>
    </row>
    <row r="28" spans="2:24" ht="15" customHeight="1" x14ac:dyDescent="0.2">
      <c r="B28" s="260" t="str">
        <f>VLOOKUP(C33,O3:S17,5,0)</f>
        <v>JUNQUILLO PARA TERMOPANEL 22-24 MM</v>
      </c>
      <c r="C28" s="261"/>
      <c r="D28" s="261"/>
      <c r="E28" s="43"/>
      <c r="F28" s="243">
        <f>F21</f>
        <v>6</v>
      </c>
      <c r="G28" s="15">
        <f>G21-62-62-5</f>
        <v>569</v>
      </c>
      <c r="H28" s="244" t="s">
        <v>75</v>
      </c>
      <c r="I28" s="244" t="s">
        <v>75</v>
      </c>
      <c r="J28" s="141" t="s">
        <v>93</v>
      </c>
      <c r="S28" s="36" t="s">
        <v>114</v>
      </c>
      <c r="T28" s="36" t="s">
        <v>115</v>
      </c>
    </row>
    <row r="29" spans="2:24" ht="15" customHeight="1" thickBot="1" x14ac:dyDescent="0.25">
      <c r="B29" s="311" t="str">
        <f>B28</f>
        <v>JUNQUILLO PARA TERMOPANEL 22-24 MM</v>
      </c>
      <c r="C29" s="312"/>
      <c r="D29" s="312"/>
      <c r="E29" s="137"/>
      <c r="F29" s="245">
        <f>F28</f>
        <v>6</v>
      </c>
      <c r="G29" s="137">
        <f>G22-62-62-5</f>
        <v>796</v>
      </c>
      <c r="H29" s="246" t="s">
        <v>75</v>
      </c>
      <c r="I29" s="246" t="s">
        <v>75</v>
      </c>
      <c r="J29" s="249" t="s">
        <v>212</v>
      </c>
      <c r="S29" s="36" t="s">
        <v>116</v>
      </c>
      <c r="T29" s="36" t="s">
        <v>117</v>
      </c>
    </row>
    <row r="30" spans="2:24" ht="15" customHeight="1" thickBot="1" x14ac:dyDescent="0.3">
      <c r="S30" s="17" t="s">
        <v>118</v>
      </c>
      <c r="T30" s="36" t="s">
        <v>119</v>
      </c>
    </row>
    <row r="31" spans="2:24" ht="18" customHeight="1" thickBot="1" x14ac:dyDescent="0.25">
      <c r="B31" s="117" t="str">
        <f>G11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4" ht="18" customHeight="1" x14ac:dyDescent="0.2">
      <c r="B32" s="120" t="s">
        <v>120</v>
      </c>
      <c r="C32" s="42" t="s">
        <v>121</v>
      </c>
      <c r="D32" s="42"/>
      <c r="E32" s="42"/>
      <c r="F32" s="42"/>
      <c r="G32" s="42" t="s">
        <v>122</v>
      </c>
      <c r="H32" s="42" t="s">
        <v>123</v>
      </c>
      <c r="I32" s="42" t="s">
        <v>124</v>
      </c>
      <c r="J32" s="121" t="s">
        <v>125</v>
      </c>
      <c r="S32" s="36" t="s">
        <v>126</v>
      </c>
      <c r="T32" s="36" t="s">
        <v>127</v>
      </c>
      <c r="V32" s="1"/>
      <c r="X32" s="13"/>
    </row>
    <row r="33" spans="1:24" ht="18" customHeight="1" thickBot="1" x14ac:dyDescent="0.25">
      <c r="B33" s="140" t="str">
        <f>H11</f>
        <v>22 mm   -    6 inc+10+6 lam</v>
      </c>
      <c r="C33" s="281" t="str">
        <f>VLOOKUP(M2,L3:O17,4,0)</f>
        <v>Termopanel 6 mm Incoloro + 10 mm + 6 mm Incoloro Laminado</v>
      </c>
      <c r="D33" s="282"/>
      <c r="E33" s="282"/>
      <c r="F33" s="283"/>
      <c r="G33" s="123">
        <f>G28-8</f>
        <v>561</v>
      </c>
      <c r="H33" s="123">
        <f>G29-8</f>
        <v>788</v>
      </c>
      <c r="I33" s="124">
        <f>H13*3</f>
        <v>3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36" t="s">
        <v>129</v>
      </c>
      <c r="T33" s="36" t="s">
        <v>130</v>
      </c>
      <c r="V33" s="1"/>
      <c r="X33" s="13"/>
    </row>
    <row r="34" spans="1:24" ht="18" customHeight="1" thickBot="1" x14ac:dyDescent="0.25">
      <c r="S34" s="36" t="s">
        <v>131</v>
      </c>
      <c r="T34" s="36" t="s">
        <v>132</v>
      </c>
      <c r="V34" s="1"/>
      <c r="X34" s="13"/>
    </row>
    <row r="35" spans="1:24" ht="18" customHeight="1" thickBot="1" x14ac:dyDescent="0.3">
      <c r="B35" s="272" t="s">
        <v>66</v>
      </c>
      <c r="C35" s="273"/>
      <c r="D35" s="274"/>
      <c r="E35" s="179"/>
      <c r="F35" s="187" t="s">
        <v>67</v>
      </c>
      <c r="G35" s="116" t="s">
        <v>133</v>
      </c>
      <c r="H35" s="262" t="s">
        <v>134</v>
      </c>
      <c r="I35" s="263"/>
      <c r="J35" s="116" t="s">
        <v>124</v>
      </c>
      <c r="S35" s="17" t="s">
        <v>135</v>
      </c>
      <c r="T35" s="36" t="s">
        <v>136</v>
      </c>
    </row>
    <row r="36" spans="1:24" ht="18" customHeight="1" x14ac:dyDescent="0.2">
      <c r="B36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E15 800mm</v>
      </c>
      <c r="C36" s="276"/>
      <c r="D36" s="276"/>
      <c r="E36" s="177"/>
      <c r="F36" s="170">
        <f>H13*2</f>
        <v>2</v>
      </c>
      <c r="G36" s="219" t="s">
        <v>138</v>
      </c>
      <c r="H36" s="284" t="s">
        <v>139</v>
      </c>
      <c r="I36" s="284"/>
      <c r="J36" s="142">
        <f>F39*2</f>
        <v>8</v>
      </c>
      <c r="S36" s="36" t="s">
        <v>140</v>
      </c>
      <c r="T36" s="36" t="s">
        <v>141</v>
      </c>
    </row>
    <row r="37" spans="1:24" ht="18" customHeight="1" x14ac:dyDescent="0.2">
      <c r="B37" s="266" t="str">
        <f>IF(AND(H14&gt;=0,H14&lt;=60),'Hoja1 (2)'!D5,IF(AND(H14&gt;=60.1,H14&lt;=120),'Hoja1 (2)'!D6,IF(AND(H14&gt;=120.1,H14&lt;=230),'Hoja1 (2)'!D3,)))</f>
        <v>CARRO CELSUS 60 KG REGULABLE</v>
      </c>
      <c r="C37" s="267"/>
      <c r="D37" s="267"/>
      <c r="E37" s="41"/>
      <c r="F37" s="126">
        <f>H13*6</f>
        <v>6</v>
      </c>
      <c r="G37" s="214" t="s">
        <v>142</v>
      </c>
      <c r="H37" s="270" t="s">
        <v>143</v>
      </c>
      <c r="I37" s="270"/>
      <c r="J37" s="131">
        <f>IF(B36='Hoja1 (2)'!A10,2*'Dobleriel S75 simetrica hoja 80'!F36,IF(B36='Hoja1 (2)'!A11,4*'Dobleriel S75 simetrica hoja 80'!F36,IF(B36='Hoja1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S37" s="36" t="s">
        <v>144</v>
      </c>
      <c r="T37" s="36" t="s">
        <v>145</v>
      </c>
    </row>
    <row r="38" spans="1:24" ht="18" customHeight="1" x14ac:dyDescent="0.2">
      <c r="B38" s="266" t="str">
        <f>IF(H9='Hoja1 (2)'!Z3,'Hoja1 (2)'!B3,IF(H9='Hoja1 (2)'!Z4,'Hoja1 (2)'!B4,IF(H9='Hoja1 (2)'!Z5,'Hoja1 (2)'!B4,IF(H9='Hoja1 (2)'!Z6,'Hoja1 (2)'!B5,IF(H9='Hoja1 (2)'!Z7,'Hoja1 (2)'!B5)))))</f>
        <v>MANILLA ALUMINIO VENTANA BLANCO</v>
      </c>
      <c r="C38" s="267"/>
      <c r="D38" s="267"/>
      <c r="E38" s="41"/>
      <c r="F38" s="126">
        <f>F36</f>
        <v>2</v>
      </c>
      <c r="G38" s="214" t="s">
        <v>146</v>
      </c>
      <c r="H38" s="270" t="s">
        <v>147</v>
      </c>
      <c r="I38" s="270"/>
      <c r="J38" s="132">
        <f>((B8/250)*2+(C12/250)*2+(B8/250)*6+(C12/250)*2)*H13</f>
        <v>64</v>
      </c>
      <c r="S38" s="36" t="s">
        <v>148</v>
      </c>
      <c r="T38" s="36" t="s">
        <v>149</v>
      </c>
    </row>
    <row r="39" spans="1:24" ht="18" customHeight="1" x14ac:dyDescent="0.2">
      <c r="B39" s="285" t="s">
        <v>150</v>
      </c>
      <c r="C39" s="270"/>
      <c r="D39" s="270"/>
      <c r="E39" s="41"/>
      <c r="F39" s="126">
        <f>IF(B36='Hoja1 (2)'!A10,1*2*H13,IF(B36='Hoja1 (2)'!A11,2*2*H13,IF(B36='Hoja1 (2)'!A12,2*2*H13,IF(B36='Hoja1 (2)'!A13,2*2*H13,IF(B36='Hoja1 (2)'!A14,3*2*H13,IF(B36='Hoja1 (2)'!A15,3*2*H13,IF(B36='Hoja1 (2)'!A16,3*2*H13,IF(B36='Hoja1 (2)'!A17,4*2*H13,IF(B36='Hoja1 (2)'!A18,4*2*H13,IF(B36='Hoja1 (2)'!A19,4*2*H13))))))))))</f>
        <v>4</v>
      </c>
      <c r="G39" s="214" t="s">
        <v>151</v>
      </c>
      <c r="H39" s="270" t="s">
        <v>152</v>
      </c>
      <c r="I39" s="270"/>
      <c r="J39" s="132">
        <f>((B8*2)/500+(C12*2)/500)*H13</f>
        <v>12</v>
      </c>
      <c r="S39" s="36" t="s">
        <v>153</v>
      </c>
      <c r="T39" s="36" t="s">
        <v>154</v>
      </c>
    </row>
    <row r="40" spans="1:24" ht="18" customHeight="1" x14ac:dyDescent="0.25">
      <c r="B40" s="266" t="s">
        <v>155</v>
      </c>
      <c r="C40" s="267"/>
      <c r="D40" s="267"/>
      <c r="E40" s="41"/>
      <c r="F40" s="126">
        <f>F36</f>
        <v>2</v>
      </c>
      <c r="G40" s="214" t="s">
        <v>156</v>
      </c>
      <c r="H40" s="270" t="s">
        <v>157</v>
      </c>
      <c r="I40" s="270"/>
      <c r="J40" s="131">
        <f>F41*2</f>
        <v>8</v>
      </c>
      <c r="S40" s="17" t="s">
        <v>158</v>
      </c>
      <c r="T40" s="36" t="s">
        <v>159</v>
      </c>
    </row>
    <row r="41" spans="1:24" ht="18" customHeight="1" x14ac:dyDescent="0.2">
      <c r="B41" s="266" t="str">
        <f>IF(H9='Hoja1 (2)'!Z3,'Hoja1 (2)'!J7,IF(H9='Hoja1 (2)'!Z4,'Hoja1 (2)'!J8,IF(H9='Hoja1 (2)'!Z5,'Hoja1 (2)'!J8,IF(H9='Hoja1 (2)'!Z6,'Hoja1 (2)'!J9,IF(H9='Hoja1 (2)'!Z7,'Hoja1 (2)'!J9)))))</f>
        <v>TOPE ESTANCO S75 WINHOUSE BLANCO</v>
      </c>
      <c r="C41" s="267"/>
      <c r="D41" s="267"/>
      <c r="E41" s="41"/>
      <c r="F41" s="126">
        <f>H13*4</f>
        <v>4</v>
      </c>
      <c r="G41" s="216" t="s">
        <v>160</v>
      </c>
      <c r="H41" s="271" t="s">
        <v>157</v>
      </c>
      <c r="I41" s="271"/>
      <c r="J41" s="203">
        <f>IF(B37='Hoja1 (2)'!D4,'Dobleriel S75 simetrica hoja 80'!H13*6*5,'Dobleriel S75 simetrica hoja 80'!H13*6*2)</f>
        <v>12</v>
      </c>
    </row>
    <row r="42" spans="1:24" ht="18" customHeight="1" x14ac:dyDescent="0.2">
      <c r="B42" s="266" t="str">
        <f>IF(H9='Hoja1 (2)'!Z3,'Hoja1 (2)'!J12,IF(H9='Hoja1 (2)'!Z4,'Hoja1 (2)'!J13,IF(H9='Hoja1 (2)'!Z5,'Hoja1 (2)'!J14,IF(H9='Hoja1 (2)'!Z6,'Hoja1 (2)'!J16,IF(H9='Hoja1 (2)'!Z7,'Hoja1 (2)'!J15)))))</f>
        <v>TAPA DESAGÜE BLANCO</v>
      </c>
      <c r="C42" s="267"/>
      <c r="D42" s="267"/>
      <c r="E42" s="41"/>
      <c r="F42" s="126">
        <f>IF(AND(C12&gt;=0,C12&lt;=800),H13*2,IF(AND(C12&gt;=801,C12&lt;=1500),H13*3,IF(C12&gt;=1501,H13*4)))</f>
        <v>4</v>
      </c>
      <c r="G42" s="214" t="s">
        <v>161</v>
      </c>
      <c r="H42" s="288" t="s">
        <v>162</v>
      </c>
      <c r="I42" s="288"/>
      <c r="J42" s="131">
        <f>F40*2</f>
        <v>4</v>
      </c>
      <c r="S42" s="36" t="s">
        <v>163</v>
      </c>
      <c r="T42" s="36" t="s">
        <v>164</v>
      </c>
    </row>
    <row r="43" spans="1:24" ht="18" customHeight="1" x14ac:dyDescent="0.2">
      <c r="B43" s="266" t="str">
        <f>IF(H9='Hoja1 (2)'!Z3,'Hoja1 (2)'!J20,IF(H9='Hoja1 (2)'!Z4,'Hoja1 (2)'!J21,IF(H9='Hoja1 (2)'!Z5,'Hoja1 (2)'!J21,IF(H9='Hoja1 (2)'!Z6,'Hoja1 (2)'!J24,IF(H9='Hoja1 (2)'!Z7,'Hoja1 (2)'!J24)))))</f>
        <v xml:space="preserve">TAPA TORNILLO AMO 3 BLANCO </v>
      </c>
      <c r="C43" s="267"/>
      <c r="D43" s="267"/>
      <c r="E43" s="41"/>
      <c r="F43" s="127">
        <f>J39</f>
        <v>12</v>
      </c>
      <c r="G43" s="214" t="s">
        <v>165</v>
      </c>
      <c r="H43" s="288" t="s">
        <v>166</v>
      </c>
      <c r="I43" s="288"/>
      <c r="J43" s="131">
        <f>F38*2</f>
        <v>4</v>
      </c>
      <c r="S43" s="36" t="s">
        <v>167</v>
      </c>
      <c r="T43" s="36" t="s">
        <v>168</v>
      </c>
    </row>
    <row r="44" spans="1:24" ht="18" customHeight="1" thickBot="1" x14ac:dyDescent="0.25">
      <c r="B44" s="266" t="str">
        <f>IF(H9='Hoja1 (2)'!Q3,'Hoja1 (2)'!J28,'Hoja1 (2)'!J29)</f>
        <v xml:space="preserve">TOPE CORREDERA 90º BLANCO </v>
      </c>
      <c r="C44" s="267"/>
      <c r="D44" s="267"/>
      <c r="E44" s="41"/>
      <c r="F44" s="126">
        <f>H13*3</f>
        <v>3</v>
      </c>
      <c r="G44" s="215" t="s">
        <v>169</v>
      </c>
      <c r="H44" s="257" t="s">
        <v>170</v>
      </c>
      <c r="I44" s="257"/>
      <c r="J44" s="202">
        <f>F44*1</f>
        <v>3</v>
      </c>
      <c r="S44" s="36" t="s">
        <v>171</v>
      </c>
      <c r="T44" s="36" t="s">
        <v>172</v>
      </c>
    </row>
    <row r="45" spans="1:24" ht="18" customHeight="1" x14ac:dyDescent="0.2">
      <c r="B45" s="264" t="s">
        <v>173</v>
      </c>
      <c r="C45" s="265"/>
      <c r="D45" s="265"/>
      <c r="E45" s="41"/>
      <c r="F45" s="126">
        <f>H13*4</f>
        <v>4</v>
      </c>
      <c r="S45" s="36" t="s">
        <v>174</v>
      </c>
      <c r="T45" s="36" t="s">
        <v>175</v>
      </c>
    </row>
    <row r="46" spans="1:24" ht="18" customHeight="1" x14ac:dyDescent="0.25">
      <c r="A46" s="280"/>
      <c r="B46" s="258" t="s">
        <v>176</v>
      </c>
      <c r="C46" s="259"/>
      <c r="D46" s="41" t="s">
        <v>177</v>
      </c>
      <c r="E46" s="41"/>
      <c r="F46" s="126">
        <f>(((B8*8)+(C12*12))*H13)/1000</f>
        <v>32</v>
      </c>
      <c r="S46" s="17" t="s">
        <v>178</v>
      </c>
      <c r="T46" s="36" t="s">
        <v>179</v>
      </c>
    </row>
    <row r="47" spans="1:24" ht="18" customHeight="1" x14ac:dyDescent="0.2">
      <c r="A47" s="280"/>
      <c r="B47" s="266" t="str">
        <f>IF(H9='Hoja1 (2)'!Z3,'Hoja1 (2)'!K4,IF(H9='Hoja1 (2)'!Z4,'Hoja1 (2)'!K5,IF(H9='Hoja1 (2)'!Z5,'Hoja1 (2)'!K6,IF(H9='Hoja1 (2)'!Z6,'Hoja1 (2)'!K7,IF(H9='Hoja1 (2)'!Z7,'Hoja1 (2)'!K3)))))</f>
        <v>SILICONA NEUTRA 300gr. BLANCO</v>
      </c>
      <c r="C47" s="267"/>
      <c r="D47" s="41" t="s">
        <v>137</v>
      </c>
      <c r="E47" s="41"/>
      <c r="F47" s="127">
        <f>((((B8*C12)/10000)*2)*0.7)/300*H13</f>
        <v>0.93333333333333335</v>
      </c>
      <c r="S47" s="36" t="s">
        <v>180</v>
      </c>
      <c r="T47" s="36" t="s">
        <v>181</v>
      </c>
    </row>
    <row r="48" spans="1:24" ht="18" customHeight="1" x14ac:dyDescent="0.2">
      <c r="A48" s="280"/>
      <c r="B48" s="268" t="s">
        <v>182</v>
      </c>
      <c r="C48" s="269"/>
      <c r="D48" s="41" t="s">
        <v>137</v>
      </c>
      <c r="E48" s="41"/>
      <c r="F48" s="126">
        <f>H13*18</f>
        <v>18</v>
      </c>
      <c r="S48" s="36" t="s">
        <v>183</v>
      </c>
      <c r="T48" s="36" t="s">
        <v>184</v>
      </c>
    </row>
    <row r="49" spans="1:20" ht="15" customHeight="1" x14ac:dyDescent="0.2">
      <c r="A49" s="280"/>
      <c r="B49" s="286" t="s">
        <v>185</v>
      </c>
      <c r="C49" s="287"/>
      <c r="D49" s="41" t="s">
        <v>137</v>
      </c>
      <c r="E49" s="41"/>
      <c r="F49" s="126">
        <f>F48*1</f>
        <v>18</v>
      </c>
      <c r="S49" s="36" t="s">
        <v>186</v>
      </c>
      <c r="T49" s="36" t="s">
        <v>187</v>
      </c>
    </row>
    <row r="50" spans="1:20" ht="16.75" customHeight="1" x14ac:dyDescent="0.2">
      <c r="A50" s="280"/>
      <c r="B50" s="258" t="s">
        <v>188</v>
      </c>
      <c r="C50" s="259"/>
      <c r="D50" s="41" t="s">
        <v>137</v>
      </c>
      <c r="E50" s="41"/>
      <c r="F50" s="126">
        <f>1*F48</f>
        <v>18</v>
      </c>
      <c r="S50" s="36" t="s">
        <v>189</v>
      </c>
      <c r="T50" s="36" t="s">
        <v>190</v>
      </c>
    </row>
    <row r="51" spans="1:20" ht="16.399999999999999" customHeight="1" x14ac:dyDescent="0.25">
      <c r="A51" s="280"/>
      <c r="B51" s="258" t="s">
        <v>191</v>
      </c>
      <c r="C51" s="259"/>
      <c r="D51" s="41" t="s">
        <v>137</v>
      </c>
      <c r="E51" s="41"/>
      <c r="F51" s="126">
        <f>1*F48</f>
        <v>18</v>
      </c>
      <c r="S51" s="17" t="s">
        <v>192</v>
      </c>
      <c r="T51" s="36" t="s">
        <v>193</v>
      </c>
    </row>
    <row r="52" spans="1:20" ht="16.75" customHeight="1" x14ac:dyDescent="0.2">
      <c r="B52" s="266" t="str">
        <f>IF(B37='Hoja1 (2)'!D5,'Dobleriel S75tres hojas hoja 80'!B56,IF('Dobleriel S75tres hojas hoja 80'!B37:D37='Hoja1 (2)'!D6,'Dobleriel S75tres hojas hoja 80'!B56,IF('Dobleriel S75tres hojas hoja 80'!B37:D37='Hoja1 (2)'!D3,'Dobleriel S75tres hojas hoja 80'!B57)))</f>
        <v>SUPLEMENTO CELSUS 16,5 MM.</v>
      </c>
      <c r="C52" s="267"/>
      <c r="D52" s="41" t="s">
        <v>137</v>
      </c>
      <c r="E52" s="41"/>
      <c r="F52" s="126">
        <f>H13*6</f>
        <v>6</v>
      </c>
      <c r="S52" s="36" t="s">
        <v>194</v>
      </c>
      <c r="T52" s="36" t="s">
        <v>195</v>
      </c>
    </row>
    <row r="53" spans="1:20" ht="15.65" customHeight="1" thickBot="1" x14ac:dyDescent="0.25">
      <c r="B53" s="306" t="s">
        <v>202</v>
      </c>
      <c r="C53" s="307"/>
      <c r="D53" s="307"/>
      <c r="E53" s="129" t="s">
        <v>137</v>
      </c>
      <c r="F53" s="130">
        <f>2</f>
        <v>2</v>
      </c>
      <c r="S53" s="36" t="s">
        <v>197</v>
      </c>
      <c r="T53" s="36" t="s">
        <v>198</v>
      </c>
    </row>
    <row r="54" spans="1:20" ht="15.65" customHeight="1" thickBot="1" x14ac:dyDescent="0.25">
      <c r="B54" s="306" t="s">
        <v>222</v>
      </c>
      <c r="C54" s="307"/>
      <c r="D54" s="307"/>
      <c r="E54" s="129" t="s">
        <v>137</v>
      </c>
      <c r="F54" s="130">
        <f>H13*8</f>
        <v>8</v>
      </c>
      <c r="S54" s="36" t="s">
        <v>200</v>
      </c>
      <c r="T54" s="36" t="s">
        <v>201</v>
      </c>
    </row>
    <row r="55" spans="1:20" ht="14.5" customHeight="1" x14ac:dyDescent="0.2">
      <c r="S55" s="36" t="s">
        <v>203</v>
      </c>
      <c r="T55" s="36" t="s">
        <v>204</v>
      </c>
    </row>
    <row r="56" spans="1:20" ht="15.65" hidden="1" customHeight="1" x14ac:dyDescent="0.25">
      <c r="B56" s="1" t="s">
        <v>196</v>
      </c>
      <c r="S56" s="17" t="s">
        <v>205</v>
      </c>
      <c r="T56" s="36" t="s">
        <v>206</v>
      </c>
    </row>
    <row r="57" spans="1:20" ht="16.399999999999999" hidden="1" customHeight="1" x14ac:dyDescent="0.2">
      <c r="B57" s="1" t="s">
        <v>221</v>
      </c>
    </row>
    <row r="58" spans="1:20" ht="14.5" x14ac:dyDescent="0.35">
      <c r="T58"/>
    </row>
    <row r="59" spans="1:20" ht="130.75" customHeight="1" x14ac:dyDescent="0.35">
      <c r="T59"/>
    </row>
    <row r="60" spans="1:20" ht="128.5" customHeight="1" x14ac:dyDescent="0.35">
      <c r="T60"/>
    </row>
  </sheetData>
  <sheetProtection algorithmName="SHA-512" hashValue="8GrbEkG7XaBqNHSwXmWcHpdq+URGfajEgRu9FXxgQUvMjwBCh3kEgoTA0ckwyHkrnsHZwVXN8mxpsU2tvvtL4Q==" saltValue="t8KcdoXE2bw9Bn0uPSJfvw==" spinCount="100000" sheet="1" objects="1" scenarios="1"/>
  <dataConsolidate/>
  <mergeCells count="55">
    <mergeCell ref="B54:D54"/>
    <mergeCell ref="B53:D53"/>
    <mergeCell ref="B44:D44"/>
    <mergeCell ref="B45:D45"/>
    <mergeCell ref="A46:A51"/>
    <mergeCell ref="B46:C46"/>
    <mergeCell ref="B47:C47"/>
    <mergeCell ref="B48:C48"/>
    <mergeCell ref="B49:C49"/>
    <mergeCell ref="B50:C50"/>
    <mergeCell ref="B51:C51"/>
    <mergeCell ref="B52:C52"/>
    <mergeCell ref="B43:D43"/>
    <mergeCell ref="B37:D37"/>
    <mergeCell ref="H37:I37"/>
    <mergeCell ref="B38:D38"/>
    <mergeCell ref="H38:I38"/>
    <mergeCell ref="B39:D39"/>
    <mergeCell ref="H39:I39"/>
    <mergeCell ref="H42:I42"/>
    <mergeCell ref="H43:I43"/>
    <mergeCell ref="B40:D40"/>
    <mergeCell ref="H40:I40"/>
    <mergeCell ref="B41:D41"/>
    <mergeCell ref="H41:I41"/>
    <mergeCell ref="B42:D42"/>
    <mergeCell ref="H36:I36"/>
    <mergeCell ref="B21:D21"/>
    <mergeCell ref="B22:D22"/>
    <mergeCell ref="B23:D23"/>
    <mergeCell ref="B24:D24"/>
    <mergeCell ref="B26:D26"/>
    <mergeCell ref="B27:D27"/>
    <mergeCell ref="B28:D28"/>
    <mergeCell ref="B29:D29"/>
    <mergeCell ref="C33:F33"/>
    <mergeCell ref="B35:D35"/>
    <mergeCell ref="H35:I35"/>
    <mergeCell ref="B25:D25"/>
    <mergeCell ref="H44:I44"/>
    <mergeCell ref="B20:D20"/>
    <mergeCell ref="H2:J4"/>
    <mergeCell ref="C4:C11"/>
    <mergeCell ref="G5:J5"/>
    <mergeCell ref="H7:I7"/>
    <mergeCell ref="H8:I8"/>
    <mergeCell ref="H9:I9"/>
    <mergeCell ref="H10:I10"/>
    <mergeCell ref="H11:I11"/>
    <mergeCell ref="B16:D16"/>
    <mergeCell ref="H16:I16"/>
    <mergeCell ref="B17:D17"/>
    <mergeCell ref="B18:D18"/>
    <mergeCell ref="B19:D19"/>
    <mergeCell ref="B36:D36"/>
  </mergeCells>
  <conditionalFormatting sqref="S26:S29">
    <cfRule type="duplicateValues" dxfId="97" priority="18"/>
    <cfRule type="duplicateValues" dxfId="96" priority="20"/>
    <cfRule type="duplicateValues" dxfId="95" priority="21"/>
  </conditionalFormatting>
  <conditionalFormatting sqref="S32:S34 S36:S39">
    <cfRule type="duplicateValues" dxfId="94" priority="16"/>
  </conditionalFormatting>
  <conditionalFormatting sqref="S32:S34">
    <cfRule type="duplicateValues" dxfId="93" priority="24"/>
  </conditionalFormatting>
  <conditionalFormatting sqref="S42:S45 S47:S50 S52:S55">
    <cfRule type="duplicateValues" dxfId="92" priority="14"/>
  </conditionalFormatting>
  <conditionalFormatting sqref="S42:S45">
    <cfRule type="duplicateValues" dxfId="91" priority="11"/>
    <cfRule type="duplicateValues" dxfId="90" priority="13"/>
  </conditionalFormatting>
  <conditionalFormatting sqref="S59:S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{82D8FC7E-E00E-4B16-95F1-671F81F2E404}</x14:id>
        </ext>
      </extLst>
    </cfRule>
  </conditionalFormatting>
  <conditionalFormatting sqref="S59:T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{BB33AA33-CFC2-4102-97D5-FC15F29ADC77}</x14:id>
        </ext>
      </extLst>
    </cfRule>
  </conditionalFormatting>
  <conditionalFormatting sqref="T26:T30">
    <cfRule type="duplicateValues" dxfId="89" priority="17"/>
    <cfRule type="duplicateValues" dxfId="88" priority="19"/>
    <cfRule type="duplicateValues" dxfId="87" priority="22"/>
  </conditionalFormatting>
  <conditionalFormatting sqref="T32:T40">
    <cfRule type="duplicateValues" dxfId="86" priority="23"/>
  </conditionalFormatting>
  <conditionalFormatting sqref="T42:T56">
    <cfRule type="duplicateValues" dxfId="85" priority="10"/>
    <cfRule type="duplicateValues" dxfId="84" priority="12"/>
    <cfRule type="duplicateValues" dxfId="83" priority="15"/>
  </conditionalFormatting>
  <conditionalFormatting sqref="T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{4D58A8A3-6E2B-4DB8-BB6C-1C3DD0370440}</x14:id>
        </ext>
      </extLst>
    </cfRule>
  </conditionalFormatting>
  <conditionalFormatting sqref="W18:W21">
    <cfRule type="duplicateValues" dxfId="82" priority="5"/>
    <cfRule type="duplicateValues" dxfId="81" priority="7"/>
    <cfRule type="duplicateValues" dxfId="80" priority="8"/>
  </conditionalFormatting>
  <conditionalFormatting sqref="X18:X22">
    <cfRule type="duplicateValues" dxfId="79" priority="4"/>
    <cfRule type="duplicateValues" dxfId="78" priority="6"/>
    <cfRule type="duplicateValues" dxfId="77" priority="9"/>
  </conditionalFormatting>
  <dataValidations disablePrompts="1" count="1">
    <dataValidation type="list" allowBlank="1" showInputMessage="1" showErrorMessage="1" sqref="H11:I11" xr:uid="{00000000-0002-0000-0700-000000000000}">
      <formula1>$L$3:$L$17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D8FC7E-E00E-4B16-95F1-671F81F2E4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S59:S60</xm:sqref>
        </x14:conditionalFormatting>
        <x14:conditionalFormatting xmlns:xm="http://schemas.microsoft.com/office/excel/2006/main">
          <x14:cfRule type="dataBar" id="{BB33AA33-CFC2-4102-97D5-FC15F29AD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S59:T60</xm:sqref>
        </x14:conditionalFormatting>
        <x14:conditionalFormatting xmlns:xm="http://schemas.microsoft.com/office/excel/2006/main">
          <x14:cfRule type="dataBar" id="{4D58A8A3-6E2B-4DB8-BB6C-1C3DD03704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700-000001000000}">
          <x14:formula1>
            <xm:f>'Hoja1 (2)'!$Z$3:$Z$7</xm:f>
          </x14:formula1>
          <xm:sqref>H9:I9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60"/>
  <sheetViews>
    <sheetView topLeftCell="A3" zoomScaleNormal="100" workbookViewId="0">
      <selection activeCell="G21" sqref="G21"/>
    </sheetView>
  </sheetViews>
  <sheetFormatPr baseColWidth="10" defaultColWidth="11.453125" defaultRowHeight="10" x14ac:dyDescent="0.2"/>
  <cols>
    <col min="1" max="1" width="4.1796875" style="2" customWidth="1"/>
    <col min="2" max="2" width="18.81640625" style="1" bestFit="1" customWidth="1"/>
    <col min="3" max="3" width="43.54296875" style="1" customWidth="1"/>
    <col min="4" max="4" width="4.81640625" style="1" customWidth="1"/>
    <col min="5" max="5" width="1.1796875" style="1" hidden="1" customWidth="1"/>
    <col min="6" max="6" width="8.1796875" style="1" customWidth="1"/>
    <col min="7" max="7" width="13.54296875" style="1" customWidth="1"/>
    <col min="8" max="8" width="10.81640625" style="1" bestFit="1" customWidth="1"/>
    <col min="9" max="9" width="9.81640625" style="1" customWidth="1"/>
    <col min="10" max="10" width="17.453125" style="1" bestFit="1" customWidth="1"/>
    <col min="11" max="11" width="17.54296875" style="2" customWidth="1"/>
    <col min="12" max="18" width="17.54296875" style="2" hidden="1" customWidth="1"/>
    <col min="19" max="19" width="12" style="2" hidden="1" customWidth="1"/>
    <col min="20" max="20" width="41.81640625" style="2" hidden="1" customWidth="1"/>
    <col min="21" max="21" width="26.81640625" style="2" hidden="1" customWidth="1"/>
    <col min="22" max="22" width="32.54296875" style="5" hidden="1" customWidth="1"/>
    <col min="23" max="23" width="22.453125" style="2" hidden="1" customWidth="1"/>
    <col min="24" max="24" width="26.81640625" style="2" hidden="1" customWidth="1"/>
    <col min="25" max="25" width="27.1796875" style="2" customWidth="1"/>
    <col min="26" max="26" width="29.453125" style="2" customWidth="1"/>
    <col min="27" max="27" width="37.1796875" style="2" customWidth="1"/>
    <col min="28" max="30" width="11.453125" style="2" customWidth="1"/>
    <col min="31" max="16384" width="11.453125" style="2"/>
  </cols>
  <sheetData>
    <row r="1" spans="2:25" ht="21" customHeight="1" thickBot="1" x14ac:dyDescent="0.25"/>
    <row r="2" spans="2:25" ht="49.4" customHeight="1" x14ac:dyDescent="0.2">
      <c r="B2" s="344" t="s">
        <v>2</v>
      </c>
      <c r="C2" s="345"/>
      <c r="D2" s="345"/>
      <c r="E2" s="345"/>
      <c r="F2" s="345"/>
      <c r="G2" s="346"/>
      <c r="H2" s="289"/>
      <c r="I2" s="289"/>
      <c r="J2" s="290"/>
      <c r="N2" s="50" t="str">
        <f>H11</f>
        <v>22 mm   -    6 inc+10+6 lam</v>
      </c>
      <c r="V2" s="2"/>
    </row>
    <row r="3" spans="2:25" ht="22" x14ac:dyDescent="0.2">
      <c r="B3" s="95"/>
      <c r="C3" s="4"/>
      <c r="D3" s="2"/>
      <c r="H3" s="291"/>
      <c r="I3" s="291"/>
      <c r="J3" s="292"/>
      <c r="L3" s="2">
        <v>3.7</v>
      </c>
      <c r="M3" s="18" t="str">
        <f>O3&amp;" -    "&amp;N3&amp;" "&amp;"mm"</f>
        <v>Semilla -    3.7 mm</v>
      </c>
      <c r="N3" s="1" t="s">
        <v>3</v>
      </c>
      <c r="O3" s="1" t="s">
        <v>4</v>
      </c>
      <c r="P3" s="2" t="s">
        <v>5</v>
      </c>
      <c r="R3" s="1" t="s">
        <v>6</v>
      </c>
      <c r="S3" s="1"/>
      <c r="T3" s="18" t="s">
        <v>7</v>
      </c>
      <c r="V3" s="2"/>
    </row>
    <row r="4" spans="2:25" ht="10.5" thickBot="1" x14ac:dyDescent="0.25">
      <c r="B4" s="95"/>
      <c r="C4" s="298"/>
      <c r="H4" s="293"/>
      <c r="I4" s="293"/>
      <c r="J4" s="294"/>
      <c r="L4" s="2">
        <v>4</v>
      </c>
      <c r="M4" s="18" t="str">
        <f>N4&amp;" "&amp;"mm"&amp;"     -    "&amp;O4</f>
        <v>4 mm     -    Incoloro</v>
      </c>
      <c r="N4" s="1">
        <v>4</v>
      </c>
      <c r="O4" s="1" t="s">
        <v>8</v>
      </c>
      <c r="P4" s="2" t="s">
        <v>9</v>
      </c>
      <c r="R4" s="1" t="s">
        <v>6</v>
      </c>
      <c r="S4" s="1"/>
      <c r="T4" s="18" t="s">
        <v>10</v>
      </c>
      <c r="V4" s="2"/>
    </row>
    <row r="5" spans="2:25" ht="21" customHeight="1" thickBot="1" x14ac:dyDescent="0.25">
      <c r="B5" s="95"/>
      <c r="C5" s="298"/>
      <c r="G5" s="300" t="s">
        <v>13</v>
      </c>
      <c r="H5" s="301"/>
      <c r="I5" s="301"/>
      <c r="J5" s="302"/>
      <c r="K5" s="33"/>
      <c r="L5" s="2">
        <v>4</v>
      </c>
      <c r="M5" s="18" t="str">
        <f>N5&amp;" "&amp;"mm"&amp;"     -    "&amp;O5</f>
        <v>4 mm     -    Saten</v>
      </c>
      <c r="N5" s="1">
        <v>4</v>
      </c>
      <c r="O5" s="1" t="s">
        <v>11</v>
      </c>
      <c r="P5" s="2" t="s">
        <v>12</v>
      </c>
      <c r="R5" s="1" t="s">
        <v>6</v>
      </c>
      <c r="S5" s="1"/>
      <c r="T5" s="18" t="s">
        <v>10</v>
      </c>
      <c r="V5" s="2"/>
      <c r="W5" s="2" t="s">
        <v>16</v>
      </c>
      <c r="X5" s="2" t="s">
        <v>17</v>
      </c>
    </row>
    <row r="6" spans="2:25" ht="21" customHeight="1" x14ac:dyDescent="0.2">
      <c r="B6" s="95"/>
      <c r="C6" s="298"/>
      <c r="D6" s="96"/>
      <c r="E6" s="96"/>
      <c r="G6" s="10" t="s">
        <v>20</v>
      </c>
      <c r="H6" s="38" t="s">
        <v>21</v>
      </c>
      <c r="I6" s="9"/>
      <c r="J6" s="97"/>
      <c r="K6" s="34"/>
      <c r="L6" s="2">
        <v>5</v>
      </c>
      <c r="M6" s="18" t="str">
        <f>N6&amp;" "&amp;"mm"&amp;"     -    "&amp;O6</f>
        <v>5 mm     -    Incoloro</v>
      </c>
      <c r="N6" s="1">
        <v>5</v>
      </c>
      <c r="O6" s="1" t="s">
        <v>8</v>
      </c>
      <c r="P6" s="2" t="s">
        <v>14</v>
      </c>
      <c r="R6" s="1" t="s">
        <v>6</v>
      </c>
      <c r="S6" s="1"/>
      <c r="T6" s="18" t="s">
        <v>10</v>
      </c>
      <c r="V6" s="2"/>
      <c r="W6" s="2" t="s">
        <v>26</v>
      </c>
      <c r="X6" s="2">
        <v>80</v>
      </c>
    </row>
    <row r="7" spans="2:25" ht="15" customHeight="1" x14ac:dyDescent="0.2">
      <c r="B7" s="95"/>
      <c r="C7" s="298"/>
      <c r="D7" s="96"/>
      <c r="E7" s="96"/>
      <c r="G7" s="51" t="s">
        <v>27</v>
      </c>
      <c r="H7" s="303" t="str">
        <f>C12&amp;"  "&amp;"mm"&amp;" "&amp;"x"&amp;" "&amp;B8&amp;" "&amp;"mm"</f>
        <v>2000  mm x 2000 mm</v>
      </c>
      <c r="I7" s="303"/>
      <c r="J7" s="99"/>
      <c r="L7" s="2">
        <v>6</v>
      </c>
      <c r="M7" s="18" t="str">
        <f>N7&amp;" "&amp;"mm"&amp;"     -    "&amp;O7</f>
        <v>6 mm     -    Incoloro</v>
      </c>
      <c r="N7" s="1">
        <v>6</v>
      </c>
      <c r="O7" s="1" t="s">
        <v>8</v>
      </c>
      <c r="P7" s="2" t="s">
        <v>22</v>
      </c>
      <c r="R7" s="1" t="s">
        <v>6</v>
      </c>
      <c r="S7" s="1"/>
      <c r="T7" s="18" t="s">
        <v>10</v>
      </c>
      <c r="V7" s="2"/>
      <c r="W7" s="2" t="s">
        <v>33</v>
      </c>
      <c r="X7" s="2">
        <v>98</v>
      </c>
    </row>
    <row r="8" spans="2:25" ht="21.65" customHeight="1" x14ac:dyDescent="0.2">
      <c r="B8" s="98">
        <v>2000</v>
      </c>
      <c r="C8" s="298"/>
      <c r="D8" s="96"/>
      <c r="E8" s="96"/>
      <c r="F8" s="2"/>
      <c r="G8" s="51" t="s">
        <v>34</v>
      </c>
      <c r="H8" s="304" t="s">
        <v>207</v>
      </c>
      <c r="I8" s="304"/>
      <c r="J8" s="99"/>
      <c r="L8" s="2">
        <v>6</v>
      </c>
      <c r="M8" s="18" t="str">
        <f>N8&amp;" "&amp;"mm"&amp;"     -    "&amp;O8</f>
        <v>6 mm     -    Laminado</v>
      </c>
      <c r="N8" s="1">
        <v>6</v>
      </c>
      <c r="O8" s="1" t="s">
        <v>28</v>
      </c>
      <c r="P8" s="2" t="s">
        <v>29</v>
      </c>
      <c r="R8" s="1" t="s">
        <v>6</v>
      </c>
      <c r="S8" s="1"/>
      <c r="T8" s="18" t="s">
        <v>10</v>
      </c>
      <c r="V8" s="2"/>
    </row>
    <row r="9" spans="2:25" ht="21" customHeight="1" x14ac:dyDescent="0.2">
      <c r="B9" s="95"/>
      <c r="C9" s="298"/>
      <c r="D9" s="96"/>
      <c r="E9" s="96"/>
      <c r="G9" s="51" t="s">
        <v>43</v>
      </c>
      <c r="H9" s="341" t="s">
        <v>32</v>
      </c>
      <c r="I9" s="341"/>
      <c r="J9" s="100"/>
      <c r="L9" s="2">
        <v>8</v>
      </c>
      <c r="M9" s="18" t="str">
        <f t="shared" ref="M9:M16" si="0">N9&amp;" "&amp;"mm"&amp;"   -    "&amp;O9</f>
        <v>18 mm   -    4 inc+10+4 inc</v>
      </c>
      <c r="N9" s="1">
        <v>18</v>
      </c>
      <c r="O9" s="1" t="s">
        <v>36</v>
      </c>
      <c r="P9" s="2" t="s">
        <v>37</v>
      </c>
      <c r="R9" s="1" t="s">
        <v>38</v>
      </c>
      <c r="S9" s="1"/>
      <c r="T9" s="18" t="s">
        <v>39</v>
      </c>
      <c r="V9" s="2"/>
    </row>
    <row r="10" spans="2:25" ht="21" customHeight="1" x14ac:dyDescent="0.2">
      <c r="B10" s="95"/>
      <c r="C10" s="298"/>
      <c r="D10" s="96"/>
      <c r="E10" s="96"/>
      <c r="G10" s="51" t="s">
        <v>47</v>
      </c>
      <c r="H10" s="304">
        <v>2</v>
      </c>
      <c r="I10" s="304"/>
      <c r="J10" s="99"/>
      <c r="L10" s="2">
        <v>8</v>
      </c>
      <c r="M10" s="18" t="str">
        <f t="shared" si="0"/>
        <v>18 mm   -    4 inc+10+4 sat</v>
      </c>
      <c r="N10" s="1">
        <v>18</v>
      </c>
      <c r="O10" s="1" t="s">
        <v>45</v>
      </c>
      <c r="P10" s="2" t="s">
        <v>46</v>
      </c>
      <c r="R10" s="1" t="s">
        <v>38</v>
      </c>
      <c r="S10" s="1"/>
      <c r="T10" s="18" t="s">
        <v>39</v>
      </c>
      <c r="V10" s="2"/>
    </row>
    <row r="11" spans="2:25" ht="21" customHeight="1" x14ac:dyDescent="0.2">
      <c r="B11" s="101"/>
      <c r="C11" s="299"/>
      <c r="D11" s="96"/>
      <c r="E11" s="96"/>
      <c r="G11" s="51" t="s">
        <v>51</v>
      </c>
      <c r="H11" s="295" t="s">
        <v>71</v>
      </c>
      <c r="I11" s="295"/>
      <c r="J11" s="102"/>
      <c r="K11" s="35"/>
      <c r="L11" s="2">
        <v>10</v>
      </c>
      <c r="M11" s="18" t="str">
        <f t="shared" si="0"/>
        <v>18 mm   -    5 inc+8+5 inc</v>
      </c>
      <c r="N11" s="1">
        <v>18</v>
      </c>
      <c r="O11" s="1" t="s">
        <v>48</v>
      </c>
      <c r="P11" s="2" t="s">
        <v>49</v>
      </c>
      <c r="R11" s="1" t="s">
        <v>38</v>
      </c>
      <c r="S11" s="1"/>
      <c r="T11" s="18" t="s">
        <v>39</v>
      </c>
      <c r="V11" s="2"/>
    </row>
    <row r="12" spans="2:25" ht="21" customHeight="1" x14ac:dyDescent="0.2">
      <c r="B12" s="95"/>
      <c r="C12" s="37">
        <v>2000</v>
      </c>
      <c r="G12" s="51" t="s">
        <v>55</v>
      </c>
      <c r="H12" s="7">
        <f>C12*B8/1000000</f>
        <v>4</v>
      </c>
      <c r="I12" s="8" t="s">
        <v>56</v>
      </c>
      <c r="J12" s="103"/>
      <c r="L12" s="2">
        <v>9</v>
      </c>
      <c r="M12" s="18" t="str">
        <f t="shared" si="0"/>
        <v>19 mm   -    4 inc+10+5 inc</v>
      </c>
      <c r="N12" s="1">
        <v>19</v>
      </c>
      <c r="O12" s="1" t="s">
        <v>53</v>
      </c>
      <c r="P12" s="2" t="s">
        <v>54</v>
      </c>
      <c r="R12" s="1" t="s">
        <v>38</v>
      </c>
      <c r="S12" s="1"/>
      <c r="T12" s="18" t="s">
        <v>39</v>
      </c>
      <c r="V12" s="2"/>
    </row>
    <row r="13" spans="2:25" ht="21" customHeight="1" x14ac:dyDescent="0.2">
      <c r="B13" s="95"/>
      <c r="C13" s="104"/>
      <c r="E13" s="105"/>
      <c r="G13" s="52" t="s">
        <v>59</v>
      </c>
      <c r="H13" s="53">
        <v>1</v>
      </c>
      <c r="I13" s="8" t="s">
        <v>60</v>
      </c>
      <c r="J13" s="102"/>
      <c r="L13" s="27">
        <v>11</v>
      </c>
      <c r="M13" s="18" t="str">
        <f t="shared" si="0"/>
        <v>19 mm   -    5 inc+8+6 inc</v>
      </c>
      <c r="N13" s="1">
        <v>19</v>
      </c>
      <c r="O13" s="1" t="s">
        <v>57</v>
      </c>
      <c r="P13" s="2" t="s">
        <v>58</v>
      </c>
      <c r="Q13" s="1"/>
      <c r="R13" s="1" t="s">
        <v>38</v>
      </c>
      <c r="S13" s="1"/>
      <c r="T13" s="18" t="s">
        <v>39</v>
      </c>
      <c r="U13" s="3"/>
      <c r="V13" s="3"/>
    </row>
    <row r="14" spans="2:25" s="3" customFormat="1" ht="21" customHeight="1" thickBot="1" x14ac:dyDescent="0.25">
      <c r="B14" s="106"/>
      <c r="C14" s="107"/>
      <c r="D14" s="107"/>
      <c r="E14" s="107"/>
      <c r="F14" s="107"/>
      <c r="G14" s="108" t="s">
        <v>208</v>
      </c>
      <c r="H14" s="109">
        <f>IF(H11=M3,((H12/3)*L3*2.54*1.3),IF(H11=M4,((H12/3)*L4*2.54*1.3),IF(H11=M5,((H12/3)*L5*2.54*1.3),IF(H11=M6,((H12/3)*L6*2.54*1.3),IF(H11=M7,((H12/3)*L7*2.54*1.3),IF(H11=M8,((H12/3)*L8*2.54*1.3),IF(H11=M9,((H12/3)*L9*2.54*1.3),IF(H11=M10,((H12/3)*L10*2.54*1.3),IF(H11=M11,((H12/3)*L11*2.54*1.3),IF(H11=M12,((H12/3)*L12*2.54*1.3),IF(H11=M13,((H12/3)*L13*2.54*1.3),IF(H11=M14,((H12/3)*L14*2.54*1.3),IF(H11=M16,((H12/3)*L16*2.54*1.3),IF(H11=M17,((H12/3)*L17*2.54*1.3)))))))))))))))</f>
        <v>52.832000000000001</v>
      </c>
      <c r="I14" s="107"/>
      <c r="J14" s="110"/>
      <c r="L14" s="2">
        <v>11</v>
      </c>
      <c r="M14" s="18" t="str">
        <f t="shared" si="0"/>
        <v>19 mm   -    5 inc+8+6 lam</v>
      </c>
      <c r="N14" s="1">
        <v>19</v>
      </c>
      <c r="O14" s="1" t="s">
        <v>61</v>
      </c>
      <c r="P14" s="2" t="s">
        <v>62</v>
      </c>
      <c r="Q14" s="2"/>
      <c r="R14" s="1" t="s">
        <v>38</v>
      </c>
      <c r="S14" s="1"/>
      <c r="T14" s="18" t="s">
        <v>39</v>
      </c>
      <c r="U14" s="2"/>
      <c r="V14" s="2"/>
      <c r="W14" s="2"/>
      <c r="X14" s="2"/>
      <c r="Y14" s="2"/>
    </row>
    <row r="15" spans="2:25" s="3" customFormat="1" ht="21" customHeight="1" thickBot="1" x14ac:dyDescent="0.25">
      <c r="G15" s="89"/>
      <c r="H15" s="90"/>
      <c r="L15" s="2"/>
      <c r="M15" s="18"/>
      <c r="N15" s="1"/>
      <c r="O15" s="1"/>
      <c r="P15" s="2"/>
      <c r="Q15" s="2"/>
      <c r="R15" s="1"/>
      <c r="S15" s="1"/>
      <c r="T15" s="18"/>
      <c r="U15" s="2"/>
      <c r="V15" s="2"/>
      <c r="W15" s="2"/>
      <c r="X15" s="2"/>
      <c r="Y15" s="2"/>
    </row>
    <row r="16" spans="2:25" ht="15" customHeight="1" thickBot="1" x14ac:dyDescent="0.25">
      <c r="B16" s="296" t="s">
        <v>66</v>
      </c>
      <c r="C16" s="310"/>
      <c r="D16" s="310"/>
      <c r="E16" s="297"/>
      <c r="F16" s="116" t="s">
        <v>67</v>
      </c>
      <c r="G16" s="116" t="s">
        <v>68</v>
      </c>
      <c r="H16" s="296" t="s">
        <v>69</v>
      </c>
      <c r="I16" s="297"/>
      <c r="J16" s="116" t="s">
        <v>70</v>
      </c>
      <c r="K16" s="232"/>
      <c r="L16" s="2">
        <v>10</v>
      </c>
      <c r="M16" s="18" t="str">
        <f t="shared" si="0"/>
        <v>20 mm   -    4 inc+10+6 lam</v>
      </c>
      <c r="N16" s="1">
        <v>20</v>
      </c>
      <c r="O16" s="1" t="s">
        <v>64</v>
      </c>
      <c r="P16" s="2" t="s">
        <v>65</v>
      </c>
      <c r="R16" s="1" t="s">
        <v>38</v>
      </c>
      <c r="S16" s="1"/>
      <c r="T16" s="18" t="s">
        <v>39</v>
      </c>
      <c r="V16" s="2"/>
    </row>
    <row r="17" spans="2:24" ht="15" customHeight="1" x14ac:dyDescent="0.2">
      <c r="B17" s="308" t="s">
        <v>231</v>
      </c>
      <c r="C17" s="309"/>
      <c r="D17" s="186"/>
      <c r="E17" s="186"/>
      <c r="F17" s="186">
        <f>H13*2</f>
        <v>2</v>
      </c>
      <c r="G17" s="241">
        <f>C12+5</f>
        <v>2005</v>
      </c>
      <c r="H17" s="186" t="s">
        <v>75</v>
      </c>
      <c r="I17" s="186" t="s">
        <v>75</v>
      </c>
      <c r="J17" s="248" t="s">
        <v>76</v>
      </c>
      <c r="K17" s="232"/>
      <c r="L17" s="2">
        <v>12</v>
      </c>
      <c r="M17" s="2" t="s">
        <v>71</v>
      </c>
      <c r="N17" s="12">
        <v>22</v>
      </c>
      <c r="O17" s="1" t="s">
        <v>72</v>
      </c>
      <c r="P17" s="2" t="s">
        <v>73</v>
      </c>
      <c r="T17" s="18" t="s">
        <v>74</v>
      </c>
      <c r="V17" s="2"/>
    </row>
    <row r="18" spans="2:24" ht="15" customHeight="1" x14ac:dyDescent="0.2">
      <c r="B18" s="260" t="s">
        <v>231</v>
      </c>
      <c r="C18" s="261"/>
      <c r="D18" s="43"/>
      <c r="E18" s="43"/>
      <c r="F18" s="43">
        <f>F17</f>
        <v>2</v>
      </c>
      <c r="G18" s="15">
        <f>B8+5</f>
        <v>2005</v>
      </c>
      <c r="H18" s="43" t="s">
        <v>75</v>
      </c>
      <c r="I18" s="43" t="s">
        <v>75</v>
      </c>
      <c r="J18" s="141" t="s">
        <v>77</v>
      </c>
      <c r="K18" s="232"/>
      <c r="L18" s="232"/>
      <c r="M18" s="232"/>
      <c r="N18" s="232"/>
      <c r="O18" s="232"/>
      <c r="P18" s="232"/>
      <c r="Q18" s="232"/>
      <c r="R18" s="232"/>
      <c r="S18" s="2" t="s">
        <v>78</v>
      </c>
      <c r="T18" s="2" t="s">
        <v>79</v>
      </c>
      <c r="U18" s="12" t="s">
        <v>32</v>
      </c>
      <c r="V18" s="2"/>
      <c r="W18" s="36" t="s">
        <v>80</v>
      </c>
      <c r="X18" s="36" t="s">
        <v>81</v>
      </c>
    </row>
    <row r="19" spans="2:24" ht="15" customHeight="1" x14ac:dyDescent="0.2">
      <c r="B19" s="260" t="s">
        <v>247</v>
      </c>
      <c r="C19" s="261"/>
      <c r="D19" s="43"/>
      <c r="E19" s="43"/>
      <c r="F19" s="43">
        <f>H13*2</f>
        <v>2</v>
      </c>
      <c r="G19" s="15">
        <f>G17-85</f>
        <v>1920</v>
      </c>
      <c r="H19" s="43" t="s">
        <v>83</v>
      </c>
      <c r="I19" s="43" t="s">
        <v>83</v>
      </c>
      <c r="J19" s="141" t="s">
        <v>76</v>
      </c>
      <c r="K19" s="232"/>
      <c r="L19" s="232"/>
      <c r="M19" s="232"/>
      <c r="N19" s="232"/>
      <c r="O19" s="232"/>
      <c r="P19" s="232"/>
      <c r="Q19" s="232"/>
      <c r="R19" s="232"/>
      <c r="S19" s="2" t="s">
        <v>84</v>
      </c>
      <c r="T19" s="2" t="s">
        <v>85</v>
      </c>
      <c r="U19" s="12" t="s">
        <v>42</v>
      </c>
      <c r="W19" s="36" t="s">
        <v>86</v>
      </c>
      <c r="X19" s="36" t="s">
        <v>87</v>
      </c>
    </row>
    <row r="20" spans="2:24" ht="15" customHeight="1" x14ac:dyDescent="0.2">
      <c r="B20" s="260" t="s">
        <v>247</v>
      </c>
      <c r="C20" s="261"/>
      <c r="D20" s="43"/>
      <c r="E20" s="43"/>
      <c r="F20" s="43">
        <f>F19</f>
        <v>2</v>
      </c>
      <c r="G20" s="15">
        <f>G18-85</f>
        <v>1920</v>
      </c>
      <c r="H20" s="43" t="s">
        <v>83</v>
      </c>
      <c r="I20" s="43" t="s">
        <v>83</v>
      </c>
      <c r="J20" s="141" t="s">
        <v>77</v>
      </c>
      <c r="K20" s="232"/>
      <c r="L20" s="232"/>
      <c r="M20" s="232"/>
      <c r="N20" s="232"/>
      <c r="O20" s="232"/>
      <c r="P20" s="232"/>
      <c r="Q20" s="232"/>
      <c r="R20" s="232"/>
      <c r="S20" s="2" t="s">
        <v>88</v>
      </c>
      <c r="T20" s="2" t="s">
        <v>89</v>
      </c>
      <c r="U20" s="12" t="s">
        <v>44</v>
      </c>
      <c r="V20" s="2"/>
      <c r="W20" s="36" t="s">
        <v>90</v>
      </c>
      <c r="X20" s="36" t="s">
        <v>91</v>
      </c>
    </row>
    <row r="21" spans="2:24" ht="15" customHeight="1" x14ac:dyDescent="0.2">
      <c r="B21" s="260" t="s">
        <v>210</v>
      </c>
      <c r="C21" s="261"/>
      <c r="D21" s="43"/>
      <c r="E21" s="43"/>
      <c r="F21" s="43">
        <f>(H10*3)*H13</f>
        <v>6</v>
      </c>
      <c r="G21" s="15">
        <f>(C12-48-48+16)/3+5+65</f>
        <v>710</v>
      </c>
      <c r="H21" s="43" t="s">
        <v>75</v>
      </c>
      <c r="I21" s="43" t="s">
        <v>75</v>
      </c>
      <c r="J21" s="141" t="s">
        <v>218</v>
      </c>
      <c r="K21" s="232"/>
      <c r="L21" s="232"/>
      <c r="M21" s="232"/>
      <c r="N21" s="232"/>
      <c r="O21" s="232"/>
      <c r="P21" s="232"/>
      <c r="Q21" s="232"/>
      <c r="R21" s="232"/>
      <c r="S21" s="2" t="s">
        <v>94</v>
      </c>
      <c r="T21" s="2" t="s">
        <v>95</v>
      </c>
      <c r="U21" s="12" t="s">
        <v>25</v>
      </c>
      <c r="W21" s="36" t="s">
        <v>96</v>
      </c>
      <c r="X21" s="36" t="s">
        <v>97</v>
      </c>
    </row>
    <row r="22" spans="2:24" ht="15" customHeight="1" x14ac:dyDescent="0.25">
      <c r="B22" s="260" t="str">
        <f>B21</f>
        <v>HOJA CORREDERA 98</v>
      </c>
      <c r="C22" s="261"/>
      <c r="D22" s="43"/>
      <c r="E22" s="43"/>
      <c r="F22" s="43">
        <f>F21</f>
        <v>6</v>
      </c>
      <c r="G22" s="15">
        <f>B8-48-48+16+5</f>
        <v>1925</v>
      </c>
      <c r="H22" s="43" t="s">
        <v>75</v>
      </c>
      <c r="I22" s="43" t="s">
        <v>75</v>
      </c>
      <c r="J22" s="141" t="s">
        <v>212</v>
      </c>
      <c r="K22" s="232"/>
      <c r="L22" s="232"/>
      <c r="M22" s="232"/>
      <c r="N22" s="232"/>
      <c r="O22" s="232"/>
      <c r="P22" s="232"/>
      <c r="Q22" s="232"/>
      <c r="R22" s="232"/>
      <c r="S22" s="2" t="s">
        <v>99</v>
      </c>
      <c r="T22" s="2" t="s">
        <v>100</v>
      </c>
      <c r="U22" s="1" t="s">
        <v>50</v>
      </c>
      <c r="V22" s="2"/>
      <c r="W22" s="17" t="s">
        <v>101</v>
      </c>
      <c r="X22" s="36" t="s">
        <v>102</v>
      </c>
    </row>
    <row r="23" spans="2:24" ht="15" customHeight="1" x14ac:dyDescent="0.2">
      <c r="B23" s="260" t="str">
        <f>IF(G18 &gt;= 2500, "REFUERZO BOX CON INCLINACION","REFUERZO HOJA CORREDERA 98 2 MM")</f>
        <v>REFUERZO HOJA CORREDERA 98 2 MM</v>
      </c>
      <c r="C23" s="261"/>
      <c r="D23" s="43"/>
      <c r="E23" s="43"/>
      <c r="F23" s="43">
        <f>F22</f>
        <v>6</v>
      </c>
      <c r="G23" s="15">
        <f>G21-80-80-25</f>
        <v>525</v>
      </c>
      <c r="H23" s="43" t="s">
        <v>83</v>
      </c>
      <c r="I23" s="43" t="s">
        <v>83</v>
      </c>
      <c r="J23" s="141" t="s">
        <v>218</v>
      </c>
      <c r="K23" s="232"/>
      <c r="L23" s="232"/>
      <c r="M23" s="232"/>
      <c r="N23" s="232"/>
      <c r="O23" s="232"/>
      <c r="P23" s="232"/>
      <c r="Q23" s="232"/>
      <c r="R23" s="232"/>
      <c r="V23" s="2"/>
    </row>
    <row r="24" spans="2:24" ht="15" customHeight="1" x14ac:dyDescent="0.2">
      <c r="B24" s="260" t="str">
        <f>B23</f>
        <v>REFUERZO HOJA CORREDERA 98 2 MM</v>
      </c>
      <c r="C24" s="261"/>
      <c r="D24" s="43"/>
      <c r="E24" s="43"/>
      <c r="F24" s="43">
        <f>F23</f>
        <v>6</v>
      </c>
      <c r="G24" s="15">
        <f>G22-80-80-25</f>
        <v>1740</v>
      </c>
      <c r="H24" s="43" t="s">
        <v>83</v>
      </c>
      <c r="I24" s="43" t="s">
        <v>83</v>
      </c>
      <c r="J24" s="141" t="s">
        <v>212</v>
      </c>
      <c r="K24" s="232"/>
      <c r="L24" s="232"/>
      <c r="M24" s="232"/>
      <c r="N24" s="232"/>
      <c r="O24" s="232"/>
      <c r="P24" s="232"/>
      <c r="Q24" s="232"/>
      <c r="R24" s="232"/>
      <c r="V24" s="13" t="s">
        <v>24</v>
      </c>
    </row>
    <row r="25" spans="2:24" ht="15" customHeight="1" x14ac:dyDescent="0.2">
      <c r="B25" s="277" t="s">
        <v>104</v>
      </c>
      <c r="C25" s="279"/>
      <c r="D25" s="43"/>
      <c r="E25" s="43"/>
      <c r="F25" s="43">
        <f>IF(G18&gt;=2300,4,0)</f>
        <v>0</v>
      </c>
      <c r="G25" s="15">
        <f>IF(F25&gt;=1,G22-80-80-25,0)</f>
        <v>0</v>
      </c>
      <c r="H25" s="43" t="s">
        <v>83</v>
      </c>
      <c r="I25" s="43" t="s">
        <v>83</v>
      </c>
      <c r="J25" s="141" t="s">
        <v>219</v>
      </c>
      <c r="K25" s="232"/>
      <c r="L25" s="232"/>
      <c r="M25" s="232"/>
      <c r="N25" s="232"/>
      <c r="O25" s="232"/>
      <c r="P25" s="232"/>
      <c r="Q25" s="232"/>
      <c r="R25" s="232"/>
      <c r="V25" s="13"/>
    </row>
    <row r="26" spans="2:24" ht="15" customHeight="1" x14ac:dyDescent="0.2">
      <c r="B26" s="260" t="s">
        <v>248</v>
      </c>
      <c r="C26" s="261"/>
      <c r="D26" s="43"/>
      <c r="E26" s="43"/>
      <c r="F26" s="43">
        <f>F18*2</f>
        <v>4</v>
      </c>
      <c r="G26" s="15">
        <f>G22-7</f>
        <v>1918</v>
      </c>
      <c r="H26" s="43" t="s">
        <v>83</v>
      </c>
      <c r="I26" s="43" t="s">
        <v>83</v>
      </c>
      <c r="J26" s="141" t="s">
        <v>107</v>
      </c>
      <c r="K26" s="232"/>
      <c r="L26" s="232"/>
      <c r="M26" s="232"/>
      <c r="N26" s="232"/>
      <c r="O26" s="232"/>
      <c r="P26" s="232"/>
      <c r="Q26" s="232"/>
      <c r="R26" s="232"/>
      <c r="S26" s="36" t="s">
        <v>108</v>
      </c>
      <c r="T26" s="36" t="s">
        <v>109</v>
      </c>
      <c r="V26" s="13" t="s">
        <v>31</v>
      </c>
    </row>
    <row r="27" spans="2:24" ht="15" customHeight="1" x14ac:dyDescent="0.2">
      <c r="B27" s="260" t="s">
        <v>110</v>
      </c>
      <c r="C27" s="261"/>
      <c r="D27" s="43"/>
      <c r="E27" s="43"/>
      <c r="F27" s="43">
        <f>H10*H13</f>
        <v>2</v>
      </c>
      <c r="G27" s="15">
        <f>C12-48-48-1</f>
        <v>1903</v>
      </c>
      <c r="H27" s="43" t="s">
        <v>75</v>
      </c>
      <c r="I27" s="43" t="s">
        <v>75</v>
      </c>
      <c r="J27" s="141" t="s">
        <v>111</v>
      </c>
      <c r="K27" s="232"/>
      <c r="L27" s="232"/>
      <c r="M27" s="232"/>
      <c r="N27" s="232"/>
      <c r="O27" s="232"/>
      <c r="P27" s="232"/>
      <c r="Q27" s="232"/>
      <c r="R27" s="232"/>
      <c r="S27" s="36" t="s">
        <v>112</v>
      </c>
      <c r="T27" s="36" t="s">
        <v>113</v>
      </c>
      <c r="V27" s="13" t="s">
        <v>41</v>
      </c>
    </row>
    <row r="28" spans="2:24" ht="15" customHeight="1" x14ac:dyDescent="0.2">
      <c r="B28" s="260" t="str">
        <f>VLOOKUP(C33,P3:T17,5,0)</f>
        <v>JUNQUILLO PARA TERMOPANEL 22-24 MM</v>
      </c>
      <c r="C28" s="261"/>
      <c r="D28" s="43"/>
      <c r="E28" s="43"/>
      <c r="F28" s="243">
        <f>F21</f>
        <v>6</v>
      </c>
      <c r="G28" s="15">
        <f>G21-80-80-5</f>
        <v>545</v>
      </c>
      <c r="H28" s="244" t="s">
        <v>75</v>
      </c>
      <c r="I28" s="244" t="s">
        <v>75</v>
      </c>
      <c r="J28" s="141" t="s">
        <v>218</v>
      </c>
      <c r="S28" s="36" t="s">
        <v>114</v>
      </c>
      <c r="T28" s="36" t="s">
        <v>115</v>
      </c>
    </row>
    <row r="29" spans="2:24" ht="15" customHeight="1" thickBot="1" x14ac:dyDescent="0.25">
      <c r="B29" s="311" t="str">
        <f>B28</f>
        <v>JUNQUILLO PARA TERMOPANEL 22-24 MM</v>
      </c>
      <c r="C29" s="312"/>
      <c r="D29" s="137"/>
      <c r="E29" s="137"/>
      <c r="F29" s="245">
        <f>F28</f>
        <v>6</v>
      </c>
      <c r="G29" s="137">
        <f>G22-80-80-5</f>
        <v>1760</v>
      </c>
      <c r="H29" s="246" t="s">
        <v>75</v>
      </c>
      <c r="I29" s="246" t="s">
        <v>75</v>
      </c>
      <c r="J29" s="249" t="s">
        <v>212</v>
      </c>
      <c r="S29" s="36" t="s">
        <v>116</v>
      </c>
      <c r="T29" s="36" t="s">
        <v>117</v>
      </c>
    </row>
    <row r="30" spans="2:24" ht="15" customHeight="1" thickBot="1" x14ac:dyDescent="0.3">
      <c r="S30" s="17" t="s">
        <v>118</v>
      </c>
      <c r="T30" s="36" t="s">
        <v>119</v>
      </c>
    </row>
    <row r="31" spans="2:24" ht="18" customHeight="1" thickBot="1" x14ac:dyDescent="0.25">
      <c r="B31" s="117" t="str">
        <f>G11</f>
        <v>Vidrio:</v>
      </c>
      <c r="C31" s="118"/>
      <c r="D31" s="118"/>
      <c r="E31" s="118"/>
      <c r="F31" s="118"/>
      <c r="G31" s="118"/>
      <c r="H31" s="118"/>
      <c r="I31" s="118"/>
      <c r="J31" s="119"/>
    </row>
    <row r="32" spans="2:24" ht="18" customHeight="1" x14ac:dyDescent="0.2">
      <c r="B32" s="120" t="s">
        <v>120</v>
      </c>
      <c r="C32" s="42" t="s">
        <v>121</v>
      </c>
      <c r="D32" s="42"/>
      <c r="E32" s="42"/>
      <c r="F32" s="42"/>
      <c r="G32" s="42" t="s">
        <v>122</v>
      </c>
      <c r="H32" s="42" t="s">
        <v>123</v>
      </c>
      <c r="I32" s="42" t="s">
        <v>124</v>
      </c>
      <c r="J32" s="121" t="s">
        <v>125</v>
      </c>
      <c r="S32" s="36" t="s">
        <v>126</v>
      </c>
      <c r="T32" s="36" t="s">
        <v>127</v>
      </c>
      <c r="V32" s="1"/>
      <c r="X32" s="13"/>
    </row>
    <row r="33" spans="1:24" ht="18" customHeight="1" thickBot="1" x14ac:dyDescent="0.25">
      <c r="B33" s="140" t="str">
        <f>H11</f>
        <v>22 mm   -    6 inc+10+6 lam</v>
      </c>
      <c r="C33" s="143" t="str">
        <f>VLOOKUP(N2,M3:P17,4,0)</f>
        <v>Termopanel 6 mm Incoloro + 10 mm + 6 mm Incoloro Laminado</v>
      </c>
      <c r="D33" s="144"/>
      <c r="E33" s="144"/>
      <c r="F33" s="145"/>
      <c r="G33" s="123">
        <f>G28-8</f>
        <v>537</v>
      </c>
      <c r="H33" s="123">
        <f>G29-8</f>
        <v>1752</v>
      </c>
      <c r="I33" s="124">
        <f>H13*3</f>
        <v>3</v>
      </c>
      <c r="J33" s="125" t="s">
        <v>128</v>
      </c>
      <c r="K33" s="9"/>
      <c r="L33" s="9"/>
      <c r="M33" s="9"/>
      <c r="N33" s="9"/>
      <c r="O33" s="9"/>
      <c r="P33" s="9"/>
      <c r="Q33" s="9"/>
      <c r="R33" s="9"/>
      <c r="S33" s="36" t="s">
        <v>129</v>
      </c>
      <c r="T33" s="36" t="s">
        <v>130</v>
      </c>
      <c r="V33" s="1"/>
      <c r="X33" s="13"/>
    </row>
    <row r="34" spans="1:24" ht="18" customHeight="1" thickBot="1" x14ac:dyDescent="0.25">
      <c r="S34" s="36" t="s">
        <v>131</v>
      </c>
      <c r="T34" s="36" t="s">
        <v>132</v>
      </c>
      <c r="V34" s="1"/>
      <c r="X34" s="13"/>
    </row>
    <row r="35" spans="1:24" ht="18" customHeight="1" thickBot="1" x14ac:dyDescent="0.3">
      <c r="B35" s="272" t="s">
        <v>66</v>
      </c>
      <c r="C35" s="274"/>
      <c r="D35" s="227"/>
      <c r="E35" s="228"/>
      <c r="F35" s="187" t="s">
        <v>67</v>
      </c>
      <c r="G35" s="116" t="s">
        <v>133</v>
      </c>
      <c r="H35" s="262" t="s">
        <v>134</v>
      </c>
      <c r="I35" s="263"/>
      <c r="J35" s="116" t="s">
        <v>124</v>
      </c>
      <c r="S35" s="17" t="s">
        <v>135</v>
      </c>
      <c r="T35" s="36" t="s">
        <v>136</v>
      </c>
    </row>
    <row r="36" spans="1:24" ht="18" customHeight="1" x14ac:dyDescent="0.2">
      <c r="B36" s="275" t="str">
        <f>IF(AND(B8&gt;=210,B8&lt;=539),'Hoja1 (2)'!A10,IF(AND(B8&gt;=540,B8&lt;=739),'Hoja1 (2)'!A11,IF(AND(B8&gt;=740,B8&lt;=939),'Hoja1 (2)'!A12,IF(AND(B8&gt;=940,B8&lt;=1139),'Hoja1 (2)'!A13,IF(AND(B8&gt;=1140,B8&lt;=1339),'Hoja1 (2)'!A14,IF(AND(B8&gt;=1340,B8&lt;=1539),'Hoja1 (2)'!A15,IF(AND(B8&gt;=1540,B8&lt;=1739),'Hoja1 (2)'!A16,IF(AND(B8&gt;=1740,B8&lt;=1939),'Hoja1 (2)'!A17,IF(AND(B8&gt;=1940,B8&lt;=2139),'Hoja1 (2)'!A18,IF(AND(B8&gt;=2140),'Hoja1 (2)'!A19))))))))))</f>
        <v>CREMONA CORREDERA E15 1800MM</v>
      </c>
      <c r="C36" s="276"/>
      <c r="D36" s="217"/>
      <c r="E36" s="177"/>
      <c r="F36" s="170">
        <f>H13*2</f>
        <v>2</v>
      </c>
      <c r="G36" s="214" t="s">
        <v>138</v>
      </c>
      <c r="H36" s="270" t="s">
        <v>139</v>
      </c>
      <c r="I36" s="270"/>
      <c r="J36" s="131">
        <f>F39*2</f>
        <v>16</v>
      </c>
      <c r="S36" s="36" t="s">
        <v>140</v>
      </c>
      <c r="T36" s="36" t="s">
        <v>141</v>
      </c>
    </row>
    <row r="37" spans="1:24" ht="18" customHeight="1" x14ac:dyDescent="0.2">
      <c r="B37" s="266" t="str">
        <f>IF(AND(H14&gt;=0,H14&lt;=60),'Hoja1 (2)'!D5,IF(AND(H14&gt;=60.1,H14&lt;=120),'Hoja1 (2)'!D6,IF(AND(H14&gt;=120.1,H14&lt;=230),'Hoja1 (2)'!D3,)))</f>
        <v>CARRO CELSUS 60 KG REGULABLE</v>
      </c>
      <c r="C37" s="267"/>
      <c r="D37" s="41"/>
      <c r="E37" s="41"/>
      <c r="F37" s="126">
        <f>H13*6</f>
        <v>6</v>
      </c>
      <c r="G37" s="214" t="s">
        <v>142</v>
      </c>
      <c r="H37" s="270" t="s">
        <v>143</v>
      </c>
      <c r="I37" s="270"/>
      <c r="J37" s="131">
        <f>IF(B36='Hoja1 (2)'!A10,2*'Dobleriel S75 simetrica hoja 80'!F36,IF(B36='Hoja1 (2)'!A11,4*'Dobleriel S75 simetrica hoja 80'!F36,IF(B36='Hoja1 (2)'!A12,8*'Dobleriel S75 simetrica hoja 80'!F36,IF('Dobleriel S75 simetrica hoja 80'!B36='Hoja1 (2)'!A13,8*'Dobleriel S75 simetrica hoja 80'!F36,IF('Dobleriel S75 simetrica hoja 80'!B36='Hoja1 (2)'!A14,8*'Dobleriel S75 simetrica hoja 80'!F36,IF('Dobleriel S75 simetrica hoja 80'!B36='Hoja1 (2)'!A15,10*'Dobleriel S75 simetrica hoja 80'!F36,IF('Dobleriel S75 simetrica hoja 80'!B36='Hoja1 (2)'!A16,10*'Dobleriel S75 simetrica hoja 80'!F36,IF('Dobleriel S75 simetrica hoja 80'!B36='Hoja1 (2)'!A17,12*'Dobleriel S75 simetrica hoja 80'!F36,IF('Dobleriel S75 simetrica hoja 80'!B36='Hoja1 (2)'!A18,12*'Dobleriel S75 simetrica hoja 80'!F36,IF('Dobleriel S75 simetrica hoja 80'!B36='Hoja1 (2)'!A19,12*'Dobleriel S75 simetrica hoja 80'!F36))))))))))</f>
        <v>24</v>
      </c>
      <c r="S37" s="36" t="s">
        <v>144</v>
      </c>
      <c r="T37" s="36" t="s">
        <v>145</v>
      </c>
    </row>
    <row r="38" spans="1:24" ht="18" customHeight="1" x14ac:dyDescent="0.2">
      <c r="B38" s="266" t="str">
        <f>IF(H9='Hoja1 (2)'!T3,'Hoja1 (2)'!B3,IF(H9='Hoja1 (2)'!$T$4,'Hoja1 (2)'!B4,IF(H9='Hoja1 (2)'!T5,'Hoja1 (2)'!B4,IF(H9='Hoja1 (2)'!T6,'Hoja1 (2)'!B5,IF(H9='Hoja1 (2)'!T7,'Hoja1 (2)'!B5)))))</f>
        <v>MANILLA ALUMINIO VENTANA BLANCO</v>
      </c>
      <c r="C38" s="267"/>
      <c r="D38" s="41"/>
      <c r="E38" s="41"/>
      <c r="F38" s="126">
        <f>F36</f>
        <v>2</v>
      </c>
      <c r="G38" s="214" t="s">
        <v>146</v>
      </c>
      <c r="H38" s="270" t="s">
        <v>147</v>
      </c>
      <c r="I38" s="270"/>
      <c r="J38" s="132">
        <f>((B8/250)*2+(C12/250)*2+(B8/250)*6+(C12/250)*2)*H13</f>
        <v>96</v>
      </c>
      <c r="S38" s="36" t="s">
        <v>148</v>
      </c>
      <c r="T38" s="36" t="s">
        <v>149</v>
      </c>
    </row>
    <row r="39" spans="1:24" ht="18" customHeight="1" x14ac:dyDescent="0.2">
      <c r="B39" s="285" t="s">
        <v>150</v>
      </c>
      <c r="C39" s="270"/>
      <c r="D39" s="41"/>
      <c r="E39" s="41"/>
      <c r="F39" s="126">
        <f>IF(B36='Hoja1 (2)'!A10,1*2*H13,IF(B36='Hoja1 (2)'!A11,2*2*H13,IF(B36='Hoja1 (2)'!A12,2*2*H13,IF(B36='Hoja1 (2)'!A13,2*2*H13,IF(B36='Hoja1 (2)'!A14,3*2*H13,IF(B36='Hoja1 (2)'!A15,3*2*H13,IF(B36='Hoja1 (2)'!A16,3*2*H13,IF(B36='Hoja1 (2)'!A17,4*2*H13,IF(B36='Hoja1 (2)'!A18,4*2*H13,IF(B36='Hoja1 (2)'!A19,4*2*H13))))))))))</f>
        <v>8</v>
      </c>
      <c r="G39" s="214" t="s">
        <v>151</v>
      </c>
      <c r="H39" s="270" t="s">
        <v>152</v>
      </c>
      <c r="I39" s="270"/>
      <c r="J39" s="132">
        <f>((B8*2)/500+(C12*2)/500)*H13</f>
        <v>16</v>
      </c>
      <c r="S39" s="36" t="s">
        <v>153</v>
      </c>
      <c r="T39" s="36" t="s">
        <v>154</v>
      </c>
    </row>
    <row r="40" spans="1:24" ht="18" customHeight="1" x14ac:dyDescent="0.25">
      <c r="B40" s="266" t="s">
        <v>155</v>
      </c>
      <c r="C40" s="267"/>
      <c r="D40" s="41"/>
      <c r="E40" s="41"/>
      <c r="F40" s="126">
        <f>F36</f>
        <v>2</v>
      </c>
      <c r="G40" s="214" t="s">
        <v>156</v>
      </c>
      <c r="H40" s="270" t="s">
        <v>157</v>
      </c>
      <c r="I40" s="270"/>
      <c r="J40" s="131">
        <f>F41*2</f>
        <v>8</v>
      </c>
      <c r="S40" s="17" t="s">
        <v>158</v>
      </c>
      <c r="T40" s="36" t="s">
        <v>159</v>
      </c>
    </row>
    <row r="41" spans="1:24" ht="18" customHeight="1" x14ac:dyDescent="0.2">
      <c r="B41" s="266" t="str">
        <f>IF(H9='Hoja1 (2)'!T3,'Hoja1 (2)'!J7,IF(H9='Hoja1 (2)'!T4,'Hoja1 (2)'!J8,IF(H9='Hoja1 (2)'!T5,'Hoja1 (2)'!J8,IF(H9='Hoja1 (2)'!T6,'Hoja1 (2)'!J9,IF(H9='Hoja1 (2)'!T7,'Hoja1 (2)'!J9)))))</f>
        <v>TOPE ESTANCO S75 WINHOUSE BLANCO</v>
      </c>
      <c r="C41" s="267"/>
      <c r="D41" s="41"/>
      <c r="E41" s="41"/>
      <c r="F41" s="126">
        <f>H13*4</f>
        <v>4</v>
      </c>
      <c r="G41" s="216" t="s">
        <v>160</v>
      </c>
      <c r="H41" s="271" t="s">
        <v>157</v>
      </c>
      <c r="I41" s="271"/>
      <c r="J41" s="203">
        <f>IF(B37='Hoja1 (2)'!D4,'Dobleriel S75 simetrica hoja 80'!H13*6*5,'Dobleriel S75 simetrica hoja 80'!H13*6*2)</f>
        <v>12</v>
      </c>
    </row>
    <row r="42" spans="1:24" ht="18" customHeight="1" x14ac:dyDescent="0.2">
      <c r="B42" s="266" t="str">
        <f>IF(H9='Hoja1 (2)'!T3,'Hoja1 (2)'!J12,IF(H9='Hoja1 (2)'!T4,'Hoja1 (2)'!J13,IF(H9='Hoja1 (2)'!T5,'Hoja1 (2)'!J14,IF(H9='Hoja1 (2)'!T6,'Hoja1 (2)'!J16,IF(H9='Hoja1 (2)'!T7,'Hoja1 (2)'!J15)))))</f>
        <v>TAPA DESAGÜE BLANCO</v>
      </c>
      <c r="C42" s="267"/>
      <c r="D42" s="41"/>
      <c r="E42" s="41"/>
      <c r="F42" s="126">
        <f>IF(AND(C12&gt;=0,C12&lt;=800),H13*2,IF(AND(C12&gt;=801,C12&lt;=1500),H13*3,IF(C12&gt;=1501,H13*4)))</f>
        <v>4</v>
      </c>
      <c r="G42" s="214" t="s">
        <v>161</v>
      </c>
      <c r="H42" s="288" t="s">
        <v>162</v>
      </c>
      <c r="I42" s="288"/>
      <c r="J42" s="131">
        <f>F40*2</f>
        <v>4</v>
      </c>
      <c r="S42" s="36" t="s">
        <v>163</v>
      </c>
      <c r="T42" s="36" t="s">
        <v>164</v>
      </c>
    </row>
    <row r="43" spans="1:24" ht="18" customHeight="1" x14ac:dyDescent="0.2">
      <c r="B43" s="266" t="str">
        <f>IF(H9='Hoja1 (2)'!T3,'Hoja1 (2)'!J20,IF(H9='Hoja1 (2)'!T4,'Hoja1 (2)'!J21,IF(H9='Hoja1 (2)'!T5,'Hoja1 (2)'!J21,IF(H9='Hoja1 (2)'!T6,'Hoja1 (2)'!J24,IF(H9='Hoja1 (2)'!T7,'Hoja1 (2)'!J24)))))</f>
        <v xml:space="preserve">TAPA TORNILLO AMO 3 BLANCO </v>
      </c>
      <c r="C43" s="267"/>
      <c r="D43" s="41"/>
      <c r="E43" s="41"/>
      <c r="F43" s="127">
        <f>J39</f>
        <v>16</v>
      </c>
      <c r="G43" s="214" t="s">
        <v>165</v>
      </c>
      <c r="H43" s="288" t="s">
        <v>166</v>
      </c>
      <c r="I43" s="288"/>
      <c r="J43" s="131">
        <f>F38*2</f>
        <v>4</v>
      </c>
      <c r="S43" s="36" t="s">
        <v>167</v>
      </c>
      <c r="T43" s="36" t="s">
        <v>168</v>
      </c>
    </row>
    <row r="44" spans="1:24" ht="18" customHeight="1" thickBot="1" x14ac:dyDescent="0.25">
      <c r="B44" s="266" t="str">
        <f>IF(H9='Hoja1 (2)'!Q3,'Hoja1 (2)'!J28,'Hoja1 (2)'!J29)</f>
        <v xml:space="preserve">TOPE CORREDERA 90º BLANCO </v>
      </c>
      <c r="C44" s="267"/>
      <c r="D44" s="41"/>
      <c r="E44" s="41"/>
      <c r="F44" s="126">
        <f>H13*3</f>
        <v>3</v>
      </c>
      <c r="G44" s="215" t="s">
        <v>169</v>
      </c>
      <c r="H44" s="257" t="s">
        <v>170</v>
      </c>
      <c r="I44" s="257"/>
      <c r="J44" s="202">
        <f>F44*1</f>
        <v>3</v>
      </c>
      <c r="S44" s="36" t="s">
        <v>171</v>
      </c>
      <c r="T44" s="36" t="s">
        <v>172</v>
      </c>
    </row>
    <row r="45" spans="1:24" ht="18" customHeight="1" x14ac:dyDescent="0.2">
      <c r="B45" s="264" t="s">
        <v>173</v>
      </c>
      <c r="C45" s="265"/>
      <c r="D45" s="41"/>
      <c r="E45" s="41"/>
      <c r="F45" s="126">
        <f>H13*4</f>
        <v>4</v>
      </c>
      <c r="S45" s="36" t="s">
        <v>174</v>
      </c>
      <c r="T45" s="36" t="s">
        <v>175</v>
      </c>
    </row>
    <row r="46" spans="1:24" ht="18" customHeight="1" x14ac:dyDescent="0.25">
      <c r="A46" s="280"/>
      <c r="B46" s="258" t="s">
        <v>176</v>
      </c>
      <c r="C46" s="259"/>
      <c r="D46" s="41" t="s">
        <v>177</v>
      </c>
      <c r="E46" s="41"/>
      <c r="F46" s="128">
        <f>(((B8*8)+(C12*12))*H13)/1000</f>
        <v>40</v>
      </c>
      <c r="S46" s="17" t="s">
        <v>178</v>
      </c>
      <c r="T46" s="36" t="s">
        <v>179</v>
      </c>
    </row>
    <row r="47" spans="1:24" ht="18" customHeight="1" x14ac:dyDescent="0.2">
      <c r="A47" s="280"/>
      <c r="B47" s="266" t="str">
        <f>IF(H9='Hoja1 (2)'!T3,'Hoja1 (2)'!K4,IF(H9='Hoja1 (2)'!T4,'Hoja1 (2)'!K5,IF(H9='Hoja1 (2)'!T5,'Hoja1 (2)'!K6,IF(H9='Hoja1 (2)'!T6,'Hoja1 (2)'!K7,IF(H9='Hoja1 (2)'!T7,'Hoja1 (2)'!K3)))))</f>
        <v>SILICONA NEUTRA 300gr. BLANCO</v>
      </c>
      <c r="C47" s="267"/>
      <c r="D47" s="41" t="s">
        <v>137</v>
      </c>
      <c r="E47" s="41"/>
      <c r="F47" s="127">
        <f>((((B8*C12)/10000)*2)*0.7)/300*H13</f>
        <v>1.8666666666666667</v>
      </c>
      <c r="S47" s="36" t="s">
        <v>180</v>
      </c>
      <c r="T47" s="36" t="s">
        <v>181</v>
      </c>
    </row>
    <row r="48" spans="1:24" ht="18" customHeight="1" x14ac:dyDescent="0.2">
      <c r="A48" s="280"/>
      <c r="B48" s="268" t="s">
        <v>182</v>
      </c>
      <c r="C48" s="269"/>
      <c r="D48" s="41" t="s">
        <v>137</v>
      </c>
      <c r="E48" s="41"/>
      <c r="F48" s="126">
        <f>H13*18</f>
        <v>18</v>
      </c>
      <c r="S48" s="36" t="s">
        <v>183</v>
      </c>
      <c r="T48" s="36" t="s">
        <v>184</v>
      </c>
    </row>
    <row r="49" spans="1:20" ht="18.649999999999999" customHeight="1" x14ac:dyDescent="0.2">
      <c r="A49" s="280"/>
      <c r="B49" s="286" t="s">
        <v>185</v>
      </c>
      <c r="C49" s="287"/>
      <c r="D49" s="41" t="s">
        <v>137</v>
      </c>
      <c r="E49" s="41"/>
      <c r="F49" s="126">
        <f>F48*1</f>
        <v>18</v>
      </c>
      <c r="S49" s="36" t="s">
        <v>186</v>
      </c>
      <c r="T49" s="36" t="s">
        <v>187</v>
      </c>
    </row>
    <row r="50" spans="1:20" ht="18" customHeight="1" x14ac:dyDescent="0.2">
      <c r="A50" s="280"/>
      <c r="B50" s="258" t="s">
        <v>188</v>
      </c>
      <c r="C50" s="259"/>
      <c r="D50" s="41" t="s">
        <v>137</v>
      </c>
      <c r="E50" s="41"/>
      <c r="F50" s="126">
        <f>1*F48</f>
        <v>18</v>
      </c>
      <c r="S50" s="36" t="s">
        <v>189</v>
      </c>
      <c r="T50" s="36" t="s">
        <v>190</v>
      </c>
    </row>
    <row r="51" spans="1:20" ht="16.399999999999999" customHeight="1" x14ac:dyDescent="0.25">
      <c r="A51" s="280"/>
      <c r="B51" s="258" t="s">
        <v>191</v>
      </c>
      <c r="C51" s="259"/>
      <c r="D51" s="41" t="s">
        <v>137</v>
      </c>
      <c r="E51" s="41"/>
      <c r="F51" s="126">
        <f>1*F48</f>
        <v>18</v>
      </c>
      <c r="S51" s="17" t="s">
        <v>192</v>
      </c>
      <c r="T51" s="36" t="s">
        <v>193</v>
      </c>
    </row>
    <row r="52" spans="1:20" ht="16.399999999999999" customHeight="1" x14ac:dyDescent="0.2">
      <c r="B52" s="266" t="str">
        <f>IF(B37='Hoja1 (2)'!D5,'Dobleriel S75tres hojas hoja 98'!D55,IF('Dobleriel S75tres hojas hoja 98'!B37:C37='Hoja1 (2)'!D6,'Dobleriel S75tres hojas hoja 98'!D55,IF('Dobleriel S75tres hojas hoja 98'!B37:C37='Hoja1 (2)'!D3,'Dobleriel S75tres hojas hoja 98'!D56)))</f>
        <v>SUPLEMENTO CELSUS 16,5 MM + 18,5 MM.</v>
      </c>
      <c r="C52" s="267"/>
      <c r="D52" s="41" t="s">
        <v>137</v>
      </c>
      <c r="E52" s="41"/>
      <c r="F52" s="126">
        <f>6*H13</f>
        <v>6</v>
      </c>
      <c r="S52" s="36" t="s">
        <v>194</v>
      </c>
      <c r="T52" s="36" t="s">
        <v>195</v>
      </c>
    </row>
    <row r="53" spans="1:20" ht="15.65" customHeight="1" thickBot="1" x14ac:dyDescent="0.25">
      <c r="B53" s="372" t="s">
        <v>202</v>
      </c>
      <c r="C53" s="373"/>
      <c r="D53" s="129" t="s">
        <v>137</v>
      </c>
      <c r="E53" s="129" t="s">
        <v>137</v>
      </c>
      <c r="F53" s="130">
        <f>2</f>
        <v>2</v>
      </c>
      <c r="S53" s="36" t="s">
        <v>197</v>
      </c>
      <c r="T53" s="36" t="s">
        <v>198</v>
      </c>
    </row>
    <row r="54" spans="1:20" ht="15.65" customHeight="1" thickBot="1" x14ac:dyDescent="0.25">
      <c r="B54" s="372" t="s">
        <v>222</v>
      </c>
      <c r="C54" s="373"/>
      <c r="D54" s="129" t="s">
        <v>137</v>
      </c>
      <c r="E54" s="129" t="s">
        <v>137</v>
      </c>
      <c r="F54" s="130">
        <f>H13*8</f>
        <v>8</v>
      </c>
      <c r="S54" s="36" t="s">
        <v>200</v>
      </c>
      <c r="T54" s="36" t="s">
        <v>201</v>
      </c>
    </row>
    <row r="55" spans="1:20" ht="16.75" hidden="1" customHeight="1" x14ac:dyDescent="0.2">
      <c r="D55" s="1" t="s">
        <v>214</v>
      </c>
      <c r="S55" s="36" t="s">
        <v>203</v>
      </c>
      <c r="T55" s="36" t="s">
        <v>204</v>
      </c>
    </row>
    <row r="56" spans="1:20" ht="15" hidden="1" customHeight="1" x14ac:dyDescent="0.25">
      <c r="D56" s="1" t="s">
        <v>215</v>
      </c>
      <c r="S56" s="17" t="s">
        <v>205</v>
      </c>
      <c r="T56" s="36" t="s">
        <v>206</v>
      </c>
    </row>
    <row r="57" spans="1:20" ht="16.399999999999999" customHeight="1" x14ac:dyDescent="0.2"/>
    <row r="58" spans="1:20" ht="14.5" x14ac:dyDescent="0.35">
      <c r="T58"/>
    </row>
    <row r="59" spans="1:20" ht="130.75" customHeight="1" x14ac:dyDescent="0.35">
      <c r="T59"/>
    </row>
    <row r="60" spans="1:20" ht="128.5" customHeight="1" x14ac:dyDescent="0.35">
      <c r="T60"/>
    </row>
  </sheetData>
  <sheetProtection algorithmName="SHA-512" hashValue="IOLuncwUi1I0GL9gf6iLt76fJp9Www3j2/JsTVOvG9BYPTPBvIrNwi6bfC5/qwYdyl78jgMP+Az7prw3xwX2DQ==" saltValue="r6jY90jnVZVkxlfbyqYTMg==" spinCount="100000" sheet="1" objects="1" scenarios="1"/>
  <dataConsolidate/>
  <mergeCells count="55">
    <mergeCell ref="B54:C54"/>
    <mergeCell ref="H41:I41"/>
    <mergeCell ref="B42:C42"/>
    <mergeCell ref="B44:C44"/>
    <mergeCell ref="B45:C45"/>
    <mergeCell ref="B52:C52"/>
    <mergeCell ref="B53:C53"/>
    <mergeCell ref="H44:I44"/>
    <mergeCell ref="A46:A51"/>
    <mergeCell ref="B46:C46"/>
    <mergeCell ref="B47:C47"/>
    <mergeCell ref="B48:C48"/>
    <mergeCell ref="B49:C49"/>
    <mergeCell ref="B50:C50"/>
    <mergeCell ref="B51:C51"/>
    <mergeCell ref="B35:C35"/>
    <mergeCell ref="H35:I35"/>
    <mergeCell ref="B36:C36"/>
    <mergeCell ref="H36:I36"/>
    <mergeCell ref="B43:C43"/>
    <mergeCell ref="B37:C37"/>
    <mergeCell ref="H37:I37"/>
    <mergeCell ref="B38:C38"/>
    <mergeCell ref="H38:I38"/>
    <mergeCell ref="B39:C39"/>
    <mergeCell ref="H39:I39"/>
    <mergeCell ref="H42:I42"/>
    <mergeCell ref="H43:I43"/>
    <mergeCell ref="B40:C40"/>
    <mergeCell ref="H40:I40"/>
    <mergeCell ref="B41:C41"/>
    <mergeCell ref="B23:C23"/>
    <mergeCell ref="B24:C24"/>
    <mergeCell ref="B26:C26"/>
    <mergeCell ref="B28:C28"/>
    <mergeCell ref="B29:C29"/>
    <mergeCell ref="B25:C25"/>
    <mergeCell ref="B27:C27"/>
    <mergeCell ref="B18:C18"/>
    <mergeCell ref="B19:C19"/>
    <mergeCell ref="B20:C20"/>
    <mergeCell ref="B21:C21"/>
    <mergeCell ref="B22:C22"/>
    <mergeCell ref="B16:E16"/>
    <mergeCell ref="H16:I16"/>
    <mergeCell ref="B17:C17"/>
    <mergeCell ref="B2:G2"/>
    <mergeCell ref="H2:J4"/>
    <mergeCell ref="C4:C11"/>
    <mergeCell ref="G5:J5"/>
    <mergeCell ref="H7:I7"/>
    <mergeCell ref="H8:I8"/>
    <mergeCell ref="H9:I9"/>
    <mergeCell ref="H10:I10"/>
    <mergeCell ref="H11:I11"/>
  </mergeCells>
  <conditionalFormatting sqref="S26:S29">
    <cfRule type="duplicateValues" dxfId="76" priority="18"/>
    <cfRule type="duplicateValues" dxfId="75" priority="20"/>
    <cfRule type="duplicateValues" dxfId="74" priority="21"/>
  </conditionalFormatting>
  <conditionalFormatting sqref="S32:S34 S36:S39">
    <cfRule type="duplicateValues" dxfId="73" priority="16"/>
  </conditionalFormatting>
  <conditionalFormatting sqref="S32:S34">
    <cfRule type="duplicateValues" dxfId="72" priority="24"/>
  </conditionalFormatting>
  <conditionalFormatting sqref="S42:S45 S47:S50 S52:S55">
    <cfRule type="duplicateValues" dxfId="71" priority="14"/>
  </conditionalFormatting>
  <conditionalFormatting sqref="S42:S45">
    <cfRule type="duplicateValues" dxfId="70" priority="11"/>
    <cfRule type="duplicateValues" dxfId="69" priority="13"/>
  </conditionalFormatting>
  <conditionalFormatting sqref="S59:S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{C04F9968-B1A4-4502-ADEA-BF4D9FA3B746}</x14:id>
        </ext>
      </extLst>
    </cfRule>
  </conditionalFormatting>
  <conditionalFormatting sqref="S59:T6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{81981747-148F-4235-9F39-D7AF8FFA5863}</x14:id>
        </ext>
      </extLst>
    </cfRule>
  </conditionalFormatting>
  <conditionalFormatting sqref="T26:T30">
    <cfRule type="duplicateValues" dxfId="68" priority="17"/>
    <cfRule type="duplicateValues" dxfId="67" priority="19"/>
    <cfRule type="duplicateValues" dxfId="66" priority="22"/>
  </conditionalFormatting>
  <conditionalFormatting sqref="T32:T40">
    <cfRule type="duplicateValues" dxfId="65" priority="23"/>
  </conditionalFormatting>
  <conditionalFormatting sqref="T42:T56">
    <cfRule type="duplicateValues" dxfId="64" priority="10"/>
    <cfRule type="duplicateValues" dxfId="63" priority="12"/>
    <cfRule type="duplicateValues" dxfId="62" priority="15"/>
  </conditionalFormatting>
  <conditionalFormatting sqref="T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{8E6BEA7D-1507-4A26-B03F-63F0E3C8353D}</x14:id>
        </ext>
      </extLst>
    </cfRule>
  </conditionalFormatting>
  <conditionalFormatting sqref="W18:W21">
    <cfRule type="duplicateValues" dxfId="61" priority="5"/>
    <cfRule type="duplicateValues" dxfId="60" priority="7"/>
    <cfRule type="duplicateValues" dxfId="59" priority="8"/>
  </conditionalFormatting>
  <conditionalFormatting sqref="X18:X22">
    <cfRule type="duplicateValues" dxfId="58" priority="4"/>
    <cfRule type="duplicateValues" dxfId="57" priority="6"/>
    <cfRule type="duplicateValues" dxfId="56" priority="9"/>
  </conditionalFormatting>
  <dataValidations disablePrompts="1" count="1">
    <dataValidation type="list" allowBlank="1" showInputMessage="1" showErrorMessage="1" sqref="H11:I11" xr:uid="{00000000-0002-0000-0800-000000000000}">
      <formula1>$M$3:$M$17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4F9968-B1A4-4502-ADEA-BF4D9FA3B7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S59:S60</xm:sqref>
        </x14:conditionalFormatting>
        <x14:conditionalFormatting xmlns:xm="http://schemas.microsoft.com/office/excel/2006/main">
          <x14:cfRule type="dataBar" id="{81981747-148F-4235-9F39-D7AF8FFA58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S59:T60</xm:sqref>
        </x14:conditionalFormatting>
        <x14:conditionalFormatting xmlns:xm="http://schemas.microsoft.com/office/excel/2006/main">
          <x14:cfRule type="dataBar" id="{8E6BEA7D-1507-4A26-B03F-63F0E3C835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800-000002000000}">
          <x14:formula1>
            <xm:f>'Hoja1 (2)'!$AB$3:$AB$7</xm:f>
          </x14:formula1>
          <xm:sqref>H9:I9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c362bd25-0219-42ca-b9a1-ba36248c845b" xsi:nil="true"/>
    <TaxCatchAll xmlns="30c22465-fe92-4ece-bee8-f6cd1df2bd85" xsi:nil="true"/>
    <lcf76f155ced4ddcb4097134ff3c332f xmlns="c362bd25-0219-42ca-b9a1-ba36248c845b">
      <Terms xmlns="http://schemas.microsoft.com/office/infopath/2007/PartnerControls"/>
    </lcf76f155ced4ddcb4097134ff3c332f>
    <FechayHora xmlns="c362bd25-0219-42ca-b9a1-ba36248c84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A309ED676134598807D3E2E8D97A9" ma:contentTypeVersion="21" ma:contentTypeDescription="Crear nuevo documento." ma:contentTypeScope="" ma:versionID="2889f0c30fba2b84e2b5b4b175e6ce5f">
  <xsd:schema xmlns:xsd="http://www.w3.org/2001/XMLSchema" xmlns:xs="http://www.w3.org/2001/XMLSchema" xmlns:p="http://schemas.microsoft.com/office/2006/metadata/properties" xmlns:ns2="c362bd25-0219-42ca-b9a1-ba36248c845b" xmlns:ns3="30c22465-fe92-4ece-bee8-f6cd1df2bd85" targetNamespace="http://schemas.microsoft.com/office/2006/metadata/properties" ma:root="true" ma:fieldsID="795b04014ea2b19494ac3516a2975d08" ns2:_="" ns3:_="">
    <xsd:import namespace="c362bd25-0219-42ca-b9a1-ba36248c845b"/>
    <xsd:import namespace="30c22465-fe92-4ece-bee8-f6cd1df2bd8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FechayHor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2bd25-0219-42ca-b9a1-ba36248c845b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FechayHora" ma:index="13" nillable="true" ma:displayName="Fecha y Hora" ma:format="DateTime" ma:internalName="FechayHora">
      <xsd:simpleType>
        <xsd:restriction base="dms:DateTim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eb80c0f-a112-4497-a9de-e383f4993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22465-fe92-4ece-bee8-f6cd1df2bd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dd99dd1-f383-4d5d-8255-8349e820d6bb}" ma:internalName="TaxCatchAll" ma:showField="CatchAllData" ma:web="30c22465-fe92-4ece-bee8-f6cd1df2bd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A2DEE-AB09-40D4-9996-E347B4EE1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1A7622-C44D-46B7-BE0E-0305263F3EF9}">
  <ds:schemaRefs>
    <ds:schemaRef ds:uri="http://schemas.microsoft.com/office/2006/metadata/properties"/>
    <ds:schemaRef ds:uri="http://schemas.microsoft.com/office/infopath/2007/PartnerControls"/>
    <ds:schemaRef ds:uri="c362bd25-0219-42ca-b9a1-ba36248c845b"/>
    <ds:schemaRef ds:uri="30c22465-fe92-4ece-bee8-f6cd1df2bd85"/>
  </ds:schemaRefs>
</ds:datastoreItem>
</file>

<file path=customXml/itemProps3.xml><?xml version="1.0" encoding="utf-8"?>
<ds:datastoreItem xmlns:ds="http://schemas.openxmlformats.org/officeDocument/2006/customXml" ds:itemID="{03189D6F-6750-4A13-978C-9194D3AEA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62bd25-0219-42ca-b9a1-ba36248c845b"/>
    <ds:schemaRef ds:uri="30c22465-fe92-4ece-bee8-f6cd1df2b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1</vt:lpstr>
      <vt:lpstr>Dobleriel S75 simetrica hoja 80</vt:lpstr>
      <vt:lpstr>Dobleriel S75 simetrica hoja 98</vt:lpstr>
      <vt:lpstr>Tripleriel S75 Simetrica H 80</vt:lpstr>
      <vt:lpstr>Tripleriel S75 Simetrica H 98</vt:lpstr>
      <vt:lpstr>Dobleriel S75asimetrica hoja 80</vt:lpstr>
      <vt:lpstr>Dobleriel S75asimetrica hoja 98</vt:lpstr>
      <vt:lpstr>Dobleriel S75tres hojas hoja 80</vt:lpstr>
      <vt:lpstr>Dobleriel S75tres hojas hoja 98</vt:lpstr>
      <vt:lpstr>Dobleriel S75 cuatro hojas 80</vt:lpstr>
      <vt:lpstr>Dobleriel S75 cuatro hojas 98</vt:lpstr>
      <vt:lpstr>Dobleriels75asimetrico 3hojaH80</vt:lpstr>
      <vt:lpstr>DoblerielS75asimetrico 3hojaH98</vt:lpstr>
      <vt:lpstr>Hoja1 (2)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thinkpad</dc:creator>
  <cp:keywords/>
  <dc:description/>
  <cp:lastModifiedBy>José Ignacio Axtubia Pino</cp:lastModifiedBy>
  <cp:revision/>
  <cp:lastPrinted>2025-12-23T16:00:37Z</cp:lastPrinted>
  <dcterms:created xsi:type="dcterms:W3CDTF">2013-12-03T17:24:10Z</dcterms:created>
  <dcterms:modified xsi:type="dcterms:W3CDTF">2026-04-23T21:35:03Z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0x010100C52A309ED676134598807D3E2E8D97A9</vt:lpwstr>
  </property>
  <property fmtid="{D5CDD505-2E9C-101B-9397-08002B2CF9AE}" pid="3" name="MediaServiceImageTags">
    <vt:lpwstr/>
  </property>
</Properties>
</file>